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ccounting Services\ACTS\Forms - FAR\2019 Financial Statements\2019 Web\LSU BR\Excel\"/>
    </mc:Choice>
  </mc:AlternateContent>
  <bookViews>
    <workbookView xWindow="0" yWindow="0" windowWidth="28800" windowHeight="12300"/>
  </bookViews>
  <sheets>
    <sheet name="LSU-BR" sheetId="4" r:id="rId1"/>
  </sheets>
  <definedNames>
    <definedName name="_xlnm.Print_Area" localSheetId="0">'LSU-BR'!$A$1:$K$237</definedName>
    <definedName name="_xlnm.Print_Titles" localSheetId="0">'LSU-BR'!$1:$11</definedName>
  </definedNames>
  <calcPr calcId="162913"/>
</workbook>
</file>

<file path=xl/calcChain.xml><?xml version="1.0" encoding="utf-8"?>
<calcChain xmlns="http://schemas.openxmlformats.org/spreadsheetml/2006/main">
  <c r="D76" i="4" l="1"/>
  <c r="H76" i="4" s="1"/>
  <c r="K76" i="4" s="1"/>
  <c r="D141" i="4"/>
  <c r="D68" i="4"/>
  <c r="D71" i="4"/>
  <c r="H71" i="4" s="1"/>
  <c r="K71" i="4" s="1"/>
  <c r="F95" i="4"/>
  <c r="H137" i="4"/>
  <c r="K137" i="4" s="1"/>
  <c r="H133" i="4"/>
  <c r="K133" i="4"/>
  <c r="D126" i="4"/>
  <c r="H126" i="4" s="1"/>
  <c r="K126" i="4" s="1"/>
  <c r="J126" i="4"/>
  <c r="B79" i="4"/>
  <c r="B90" i="4"/>
  <c r="H105" i="4"/>
  <c r="K105" i="4"/>
  <c r="F61" i="4"/>
  <c r="D61" i="4"/>
  <c r="H118" i="4"/>
  <c r="K118" i="4" s="1"/>
  <c r="H144" i="4"/>
  <c r="K144" i="4"/>
  <c r="H178" i="4"/>
  <c r="K178" i="4"/>
  <c r="J108" i="4"/>
  <c r="F108" i="4"/>
  <c r="D108" i="4"/>
  <c r="H108" i="4"/>
  <c r="K108" i="4" s="1"/>
  <c r="H33" i="4"/>
  <c r="H114" i="4"/>
  <c r="K114" i="4" s="1"/>
  <c r="H113" i="4"/>
  <c r="K113" i="4"/>
  <c r="H92" i="4"/>
  <c r="K92" i="4"/>
  <c r="H167" i="4"/>
  <c r="K167" i="4" s="1"/>
  <c r="H111" i="4"/>
  <c r="K111" i="4"/>
  <c r="H94" i="4"/>
  <c r="K94" i="4"/>
  <c r="H60" i="4"/>
  <c r="J173" i="4"/>
  <c r="J181" i="4"/>
  <c r="J95" i="4"/>
  <c r="J168" i="4" s="1"/>
  <c r="D95" i="4"/>
  <c r="F96" i="4"/>
  <c r="J96" i="4"/>
  <c r="D96" i="4"/>
  <c r="J101" i="4"/>
  <c r="D101" i="4"/>
  <c r="H101" i="4" s="1"/>
  <c r="K101" i="4" s="1"/>
  <c r="J102" i="4"/>
  <c r="J104" i="4"/>
  <c r="B107" i="4"/>
  <c r="J107" i="4"/>
  <c r="J119" i="4"/>
  <c r="K119" i="4" s="1"/>
  <c r="J145" i="4"/>
  <c r="D145" i="4"/>
  <c r="H145" i="4" s="1"/>
  <c r="K145" i="4" s="1"/>
  <c r="J162" i="4"/>
  <c r="F162" i="4"/>
  <c r="D162" i="4"/>
  <c r="H162" i="4" s="1"/>
  <c r="K162" i="4" s="1"/>
  <c r="B164" i="4"/>
  <c r="H164" i="4"/>
  <c r="K164" i="4" s="1"/>
  <c r="K60" i="4"/>
  <c r="J76" i="4"/>
  <c r="J143" i="4"/>
  <c r="J142" i="4"/>
  <c r="F142" i="4"/>
  <c r="D142" i="4"/>
  <c r="F141" i="4"/>
  <c r="D140" i="4"/>
  <c r="H140" i="4"/>
  <c r="F140" i="4"/>
  <c r="J140" i="4"/>
  <c r="K140" i="4" s="1"/>
  <c r="J139" i="4"/>
  <c r="J134" i="4"/>
  <c r="D134" i="4"/>
  <c r="H134" i="4" s="1"/>
  <c r="K134" i="4" s="1"/>
  <c r="J132" i="4"/>
  <c r="F132" i="4"/>
  <c r="D132" i="4"/>
  <c r="D129" i="4"/>
  <c r="H129" i="4"/>
  <c r="K129" i="4" s="1"/>
  <c r="J128" i="4"/>
  <c r="F128" i="4"/>
  <c r="D128" i="4"/>
  <c r="H128" i="4"/>
  <c r="J127" i="4"/>
  <c r="K127" i="4" s="1"/>
  <c r="D127" i="4"/>
  <c r="H127" i="4"/>
  <c r="H125" i="4"/>
  <c r="K125" i="4" s="1"/>
  <c r="J124" i="4"/>
  <c r="H124" i="4"/>
  <c r="K124" i="4" s="1"/>
  <c r="D121" i="4"/>
  <c r="H121" i="4"/>
  <c r="K121" i="4" s="1"/>
  <c r="D151" i="4"/>
  <c r="H151" i="4"/>
  <c r="K151" i="4"/>
  <c r="D149" i="4"/>
  <c r="H149" i="4"/>
  <c r="K149" i="4" s="1"/>
  <c r="J71" i="4"/>
  <c r="J64" i="4"/>
  <c r="D67" i="4"/>
  <c r="D168" i="4" s="1"/>
  <c r="J67" i="4"/>
  <c r="B156" i="4"/>
  <c r="H156" i="4"/>
  <c r="J156" i="4"/>
  <c r="J159" i="4"/>
  <c r="K159" i="4" s="1"/>
  <c r="H37" i="4"/>
  <c r="K37" i="4"/>
  <c r="F188" i="4"/>
  <c r="J191" i="4"/>
  <c r="D191" i="4"/>
  <c r="H191" i="4"/>
  <c r="K191" i="4" s="1"/>
  <c r="J190" i="4"/>
  <c r="D190" i="4"/>
  <c r="H190" i="4" s="1"/>
  <c r="K190" i="4" s="1"/>
  <c r="J198" i="4"/>
  <c r="D198" i="4"/>
  <c r="H198" i="4"/>
  <c r="K198" i="4" s="1"/>
  <c r="J210" i="4"/>
  <c r="D210" i="4"/>
  <c r="H210" i="4" s="1"/>
  <c r="K210" i="4" s="1"/>
  <c r="J188" i="4"/>
  <c r="D188" i="4"/>
  <c r="J209" i="4"/>
  <c r="K209" i="4" s="1"/>
  <c r="F209" i="4"/>
  <c r="D209" i="4"/>
  <c r="J212" i="4"/>
  <c r="D212" i="4"/>
  <c r="H212" i="4"/>
  <c r="H223" i="4"/>
  <c r="K223" i="4" s="1"/>
  <c r="H227" i="4"/>
  <c r="K227" i="4" s="1"/>
  <c r="H233" i="4"/>
  <c r="K233" i="4" s="1"/>
  <c r="H172" i="4"/>
  <c r="K172" i="4" s="1"/>
  <c r="H173" i="4"/>
  <c r="H174" i="4"/>
  <c r="K174" i="4" s="1"/>
  <c r="H175" i="4"/>
  <c r="K175" i="4"/>
  <c r="H176" i="4"/>
  <c r="K176" i="4"/>
  <c r="H177" i="4"/>
  <c r="K177" i="4" s="1"/>
  <c r="H195" i="4"/>
  <c r="K195" i="4"/>
  <c r="H179" i="4"/>
  <c r="K179" i="4"/>
  <c r="H180" i="4"/>
  <c r="K180" i="4" s="1"/>
  <c r="F181" i="4"/>
  <c r="D181" i="4"/>
  <c r="H90" i="4"/>
  <c r="K90" i="4"/>
  <c r="B181" i="4"/>
  <c r="H93" i="4"/>
  <c r="K93" i="4"/>
  <c r="H110" i="4"/>
  <c r="K110" i="4" s="1"/>
  <c r="K115" i="4"/>
  <c r="K148" i="4"/>
  <c r="K154" i="4"/>
  <c r="K160" i="4"/>
  <c r="D58" i="4"/>
  <c r="J58" i="4"/>
  <c r="N50" i="4"/>
  <c r="K35" i="4"/>
  <c r="K52" i="4"/>
  <c r="K20" i="4"/>
  <c r="J28" i="4"/>
  <c r="H104" i="4"/>
  <c r="K104" i="4"/>
  <c r="H85" i="4"/>
  <c r="K85" i="4" s="1"/>
  <c r="H196" i="4"/>
  <c r="K196" i="4"/>
  <c r="H88" i="4"/>
  <c r="K88" i="4"/>
  <c r="H89" i="4"/>
  <c r="K89" i="4" s="1"/>
  <c r="H99" i="4"/>
  <c r="K99" i="4"/>
  <c r="H103" i="4"/>
  <c r="K103" i="4"/>
  <c r="H97" i="4"/>
  <c r="K97" i="4" s="1"/>
  <c r="H143" i="4"/>
  <c r="K143" i="4"/>
  <c r="H117" i="4"/>
  <c r="K117" i="4"/>
  <c r="H70" i="4"/>
  <c r="K70" i="4" s="1"/>
  <c r="H136" i="4"/>
  <c r="K136" i="4"/>
  <c r="H123" i="4"/>
  <c r="K123" i="4"/>
  <c r="H15" i="4"/>
  <c r="H16" i="4"/>
  <c r="F58" i="4"/>
  <c r="H229" i="4"/>
  <c r="K229" i="4" s="1"/>
  <c r="H222" i="4"/>
  <c r="K222" i="4" s="1"/>
  <c r="H163" i="4"/>
  <c r="K163" i="4" s="1"/>
  <c r="H86" i="4"/>
  <c r="K86" i="4" s="1"/>
  <c r="H109" i="4"/>
  <c r="K109" i="4" s="1"/>
  <c r="H166" i="4"/>
  <c r="K166" i="4" s="1"/>
  <c r="H87" i="4"/>
  <c r="K87" i="4" s="1"/>
  <c r="H78" i="4"/>
  <c r="K78" i="4" s="1"/>
  <c r="H77" i="4"/>
  <c r="K77" i="4" s="1"/>
  <c r="H34" i="4"/>
  <c r="K34" i="4" s="1"/>
  <c r="H53" i="4"/>
  <c r="K53" i="4" s="1"/>
  <c r="H54" i="4"/>
  <c r="K54" i="4" s="1"/>
  <c r="H55" i="4"/>
  <c r="K55" i="4" s="1"/>
  <c r="H56" i="4"/>
  <c r="K56" i="4" s="1"/>
  <c r="J235" i="4"/>
  <c r="B235" i="4"/>
  <c r="H216" i="4"/>
  <c r="H235" i="4" s="1"/>
  <c r="H217" i="4"/>
  <c r="K217" i="4" s="1"/>
  <c r="H225" i="4"/>
  <c r="K225" i="4" s="1"/>
  <c r="H230" i="4"/>
  <c r="K230" i="4" s="1"/>
  <c r="H231" i="4"/>
  <c r="K231" i="4" s="1"/>
  <c r="H27" i="4"/>
  <c r="K27" i="4" s="1"/>
  <c r="H22" i="4"/>
  <c r="K22" i="4" s="1"/>
  <c r="D28" i="4"/>
  <c r="H220" i="4"/>
  <c r="K220" i="4"/>
  <c r="H147" i="4"/>
  <c r="K147" i="4"/>
  <c r="H130" i="4"/>
  <c r="K130" i="4"/>
  <c r="H73" i="4"/>
  <c r="K73" i="4"/>
  <c r="H66" i="4"/>
  <c r="K66" i="4"/>
  <c r="H63" i="4"/>
  <c r="K63" i="4"/>
  <c r="H221" i="4"/>
  <c r="K221" i="4"/>
  <c r="F28" i="4"/>
  <c r="H21" i="4"/>
  <c r="K21" i="4" s="1"/>
  <c r="H51" i="4"/>
  <c r="K51" i="4" s="1"/>
  <c r="H40" i="4"/>
  <c r="K40" i="4" s="1"/>
  <c r="H46" i="4"/>
  <c r="K46" i="4" s="1"/>
  <c r="H39" i="4"/>
  <c r="K39" i="4" s="1"/>
  <c r="H135" i="4"/>
  <c r="K135" i="4" s="1"/>
  <c r="H80" i="4"/>
  <c r="K80" i="4" s="1"/>
  <c r="H193" i="4"/>
  <c r="K193" i="4" s="1"/>
  <c r="H25" i="4"/>
  <c r="K25" i="4" s="1"/>
  <c r="H122" i="4"/>
  <c r="K122" i="4" s="1"/>
  <c r="H75" i="4"/>
  <c r="K75" i="4" s="1"/>
  <c r="H38" i="4"/>
  <c r="K38" i="4" s="1"/>
  <c r="H185" i="4"/>
  <c r="K185" i="4" s="1"/>
  <c r="H197" i="4"/>
  <c r="K197" i="4" s="1"/>
  <c r="H192" i="4"/>
  <c r="K192" i="4" s="1"/>
  <c r="H207" i="4"/>
  <c r="K207" i="4" s="1"/>
  <c r="H219" i="4"/>
  <c r="K219" i="4" s="1"/>
  <c r="H41" i="4"/>
  <c r="K41" i="4" s="1"/>
  <c r="H161" i="4"/>
  <c r="K161" i="4" s="1"/>
  <c r="B213" i="4"/>
  <c r="H234" i="4"/>
  <c r="K234" i="4"/>
  <c r="H224" i="4"/>
  <c r="K224" i="4"/>
  <c r="H226" i="4"/>
  <c r="K226" i="4"/>
  <c r="H150" i="4"/>
  <c r="K150" i="4" s="1"/>
  <c r="H112" i="4"/>
  <c r="K112" i="4"/>
  <c r="H69" i="4"/>
  <c r="K69" i="4"/>
  <c r="H36" i="4"/>
  <c r="K36" i="4" s="1"/>
  <c r="H47" i="4"/>
  <c r="K47" i="4"/>
  <c r="H165" i="4"/>
  <c r="K165" i="4"/>
  <c r="H119" i="4"/>
  <c r="H102" i="4"/>
  <c r="K102" i="4" s="1"/>
  <c r="H96" i="4"/>
  <c r="K96" i="4" s="1"/>
  <c r="H218" i="4"/>
  <c r="K218" i="4"/>
  <c r="B28" i="4"/>
  <c r="H138" i="4"/>
  <c r="K138" i="4" s="1"/>
  <c r="H205" i="4"/>
  <c r="K205" i="4" s="1"/>
  <c r="H204" i="4"/>
  <c r="K204" i="4" s="1"/>
  <c r="H202" i="4"/>
  <c r="K202" i="4" s="1"/>
  <c r="H194" i="4"/>
  <c r="K194" i="4" s="1"/>
  <c r="H200" i="4"/>
  <c r="K200" i="4" s="1"/>
  <c r="H158" i="4"/>
  <c r="K158" i="4" s="1"/>
  <c r="H186" i="4"/>
  <c r="K186" i="4" s="1"/>
  <c r="H187" i="4"/>
  <c r="K187" i="4" s="1"/>
  <c r="H208" i="4"/>
  <c r="K208" i="4" s="1"/>
  <c r="H199" i="4"/>
  <c r="K199" i="4" s="1"/>
  <c r="H211" i="4"/>
  <c r="K211" i="4" s="1"/>
  <c r="H203" i="4"/>
  <c r="K203" i="4" s="1"/>
  <c r="H184" i="4"/>
  <c r="K184" i="4" s="1"/>
  <c r="H26" i="4"/>
  <c r="K26" i="4" s="1"/>
  <c r="H159" i="4"/>
  <c r="H157" i="4"/>
  <c r="K157" i="4"/>
  <c r="H201" i="4"/>
  <c r="K201" i="4"/>
  <c r="H206" i="4"/>
  <c r="K206" i="4" s="1"/>
  <c r="H100" i="4"/>
  <c r="K100" i="4"/>
  <c r="H83" i="4"/>
  <c r="K83" i="4"/>
  <c r="H106" i="4"/>
  <c r="K106" i="4" s="1"/>
  <c r="H98" i="4"/>
  <c r="K98" i="4"/>
  <c r="H42" i="4"/>
  <c r="K42" i="4"/>
  <c r="H43" i="4"/>
  <c r="K43" i="4" s="1"/>
  <c r="H44" i="4"/>
  <c r="K44" i="4"/>
  <c r="H49" i="4"/>
  <c r="K49" i="4"/>
  <c r="H91" i="4"/>
  <c r="K91" i="4" s="1"/>
  <c r="H32" i="4"/>
  <c r="K32" i="4"/>
  <c r="H45" i="4"/>
  <c r="K45" i="4"/>
  <c r="H48" i="4"/>
  <c r="K48" i="4" s="1"/>
  <c r="H50" i="4"/>
  <c r="K50" i="4"/>
  <c r="H189" i="4"/>
  <c r="K189" i="4"/>
  <c r="H155" i="4"/>
  <c r="K155" i="4" s="1"/>
  <c r="H64" i="4"/>
  <c r="H65" i="4"/>
  <c r="K65" i="4" s="1"/>
  <c r="H68" i="4"/>
  <c r="K68" i="4" s="1"/>
  <c r="H72" i="4"/>
  <c r="K72" i="4"/>
  <c r="H74" i="4"/>
  <c r="K74" i="4" s="1"/>
  <c r="H81" i="4"/>
  <c r="K81" i="4" s="1"/>
  <c r="H131" i="4"/>
  <c r="K131" i="4"/>
  <c r="H153" i="4"/>
  <c r="K153" i="4" s="1"/>
  <c r="H24" i="4"/>
  <c r="K24" i="4" s="1"/>
  <c r="H84" i="4"/>
  <c r="K84" i="4"/>
  <c r="H82" i="4"/>
  <c r="K82" i="4" s="1"/>
  <c r="H23" i="4"/>
  <c r="K23" i="4" s="1"/>
  <c r="H152" i="4"/>
  <c r="K152" i="4" s="1"/>
  <c r="H146" i="4"/>
  <c r="K146" i="4" s="1"/>
  <c r="H116" i="4"/>
  <c r="K116" i="4" s="1"/>
  <c r="B58" i="4"/>
  <c r="H14" i="4"/>
  <c r="H139" i="4"/>
  <c r="K139" i="4" s="1"/>
  <c r="D235" i="4"/>
  <c r="F235" i="4"/>
  <c r="H57" i="4"/>
  <c r="K57" i="4"/>
  <c r="H232" i="4"/>
  <c r="K232" i="4"/>
  <c r="F17" i="4"/>
  <c r="D17" i="4"/>
  <c r="H228" i="4"/>
  <c r="K228" i="4"/>
  <c r="H79" i="4"/>
  <c r="K79" i="4"/>
  <c r="B247" i="4"/>
  <c r="B249" i="4"/>
  <c r="H209" i="4"/>
  <c r="H95" i="4"/>
  <c r="H132" i="4"/>
  <c r="F213" i="4"/>
  <c r="H28" i="4"/>
  <c r="H188" i="4"/>
  <c r="K188" i="4" s="1"/>
  <c r="D213" i="4"/>
  <c r="K128" i="4"/>
  <c r="H141" i="4"/>
  <c r="K141" i="4" s="1"/>
  <c r="H61" i="4"/>
  <c r="K61" i="4" s="1"/>
  <c r="H58" i="4"/>
  <c r="K58" i="4" s="1"/>
  <c r="K156" i="4"/>
  <c r="K132" i="4"/>
  <c r="B168" i="4"/>
  <c r="B169" i="4"/>
  <c r="B237" i="4" s="1"/>
  <c r="K64" i="4"/>
  <c r="K28" i="4"/>
  <c r="K173" i="4"/>
  <c r="F168" i="4"/>
  <c r="F169" i="4" s="1"/>
  <c r="H142" i="4"/>
  <c r="K142" i="4" s="1"/>
  <c r="K212" i="4"/>
  <c r="H181" i="4"/>
  <c r="K181" i="4" s="1"/>
  <c r="H107" i="4"/>
  <c r="K107" i="4" s="1"/>
  <c r="H17" i="4"/>
  <c r="J169" i="4" l="1"/>
  <c r="F237" i="4"/>
  <c r="F245" i="4" s="1"/>
  <c r="F247" i="4" s="1"/>
  <c r="F249" i="4" s="1"/>
  <c r="K235" i="4"/>
  <c r="D169" i="4"/>
  <c r="D237" i="4" s="1"/>
  <c r="D245" i="4" s="1"/>
  <c r="D247" i="4" s="1"/>
  <c r="D249" i="4" s="1"/>
  <c r="H213" i="4"/>
  <c r="K95" i="4"/>
  <c r="K216" i="4"/>
  <c r="H67" i="4"/>
  <c r="J213" i="4"/>
  <c r="H169" i="4" l="1"/>
  <c r="H237" i="4" s="1"/>
  <c r="H245" i="4" s="1"/>
  <c r="H247" i="4" s="1"/>
  <c r="H249" i="4" s="1"/>
  <c r="K213" i="4"/>
  <c r="J237" i="4"/>
  <c r="H168" i="4"/>
  <c r="K168" i="4" s="1"/>
  <c r="K67" i="4"/>
  <c r="K169" i="4"/>
  <c r="K237" i="4" s="1"/>
</calcChain>
</file>

<file path=xl/sharedStrings.xml><?xml version="1.0" encoding="utf-8"?>
<sst xmlns="http://schemas.openxmlformats.org/spreadsheetml/2006/main" count="510" uniqueCount="504">
  <si>
    <t>Allocations</t>
  </si>
  <si>
    <t>Expenditures</t>
  </si>
  <si>
    <t xml:space="preserve"> </t>
  </si>
  <si>
    <t>PER SPRDSHT</t>
  </si>
  <si>
    <t>per PLANT REPORT</t>
  </si>
  <si>
    <t xml:space="preserve"> State of Louisiana:</t>
  </si>
  <si>
    <t xml:space="preserve">   Facility Planning and Control -</t>
  </si>
  <si>
    <t xml:space="preserve"> University Debt:</t>
  </si>
  <si>
    <t xml:space="preserve"> Transfers from Other Funds:</t>
  </si>
  <si>
    <t xml:space="preserve">   Unrestricted -</t>
  </si>
  <si>
    <t xml:space="preserve">     Assembly center facility maintenance</t>
  </si>
  <si>
    <t xml:space="preserve">   Restricted -</t>
  </si>
  <si>
    <t xml:space="preserve">     Athletic department --</t>
  </si>
  <si>
    <t xml:space="preserve">       Renovations</t>
  </si>
  <si>
    <t xml:space="preserve">       Assembly center improvements</t>
  </si>
  <si>
    <t xml:space="preserve">       Field house improvements</t>
  </si>
  <si>
    <t xml:space="preserve">       Natatorium renovations</t>
  </si>
  <si>
    <t xml:space="preserve">     Campus police - equipment</t>
  </si>
  <si>
    <t xml:space="preserve">     Campus wide ada accessibility compliance</t>
  </si>
  <si>
    <t xml:space="preserve">     Emergency repairs</t>
  </si>
  <si>
    <t xml:space="preserve">     Residential life --</t>
  </si>
  <si>
    <t xml:space="preserve">       Tiger stadium renovations</t>
  </si>
  <si>
    <t xml:space="preserve">       Track renovation projects</t>
  </si>
  <si>
    <t xml:space="preserve">       Women's softball facility improvements</t>
  </si>
  <si>
    <t xml:space="preserve">       Faculty club renovations</t>
  </si>
  <si>
    <t xml:space="preserve">       Acadian hall</t>
  </si>
  <si>
    <t xml:space="preserve">       Broussard hall</t>
  </si>
  <si>
    <t xml:space="preserve">       East campus apartments</t>
  </si>
  <si>
    <t xml:space="preserve">       Herget hall</t>
  </si>
  <si>
    <t xml:space="preserve">       McVoy hall</t>
  </si>
  <si>
    <t xml:space="preserve">       Miller hall</t>
  </si>
  <si>
    <t xml:space="preserve">     Steam system repairs</t>
  </si>
  <si>
    <t xml:space="preserve">       Equipment and furnishings</t>
  </si>
  <si>
    <t xml:space="preserve">       Interior renovations</t>
  </si>
  <si>
    <t xml:space="preserve">     University recreation --</t>
  </si>
  <si>
    <t xml:space="preserve">       Technology initiative</t>
  </si>
  <si>
    <t xml:space="preserve">       Residential college</t>
  </si>
  <si>
    <t xml:space="preserve"> Other Sources:</t>
  </si>
  <si>
    <t xml:space="preserve">     Fire and emergency training institute</t>
  </si>
  <si>
    <t xml:space="preserve">           Total</t>
  </si>
  <si>
    <t xml:space="preserve">         Total university debt</t>
  </si>
  <si>
    <t xml:space="preserve">         Total other sources</t>
  </si>
  <si>
    <t xml:space="preserve">       Memorial oak grove</t>
  </si>
  <si>
    <t xml:space="preserve">       Various apartment renovations</t>
  </si>
  <si>
    <t xml:space="preserve">     Equipment reserves --</t>
  </si>
  <si>
    <t xml:space="preserve">         Total unrestricted</t>
  </si>
  <si>
    <t xml:space="preserve">         Total restricted</t>
  </si>
  <si>
    <t xml:space="preserve">           Total transfers from other funds</t>
  </si>
  <si>
    <t xml:space="preserve">       Mechanical engineering machine shop </t>
  </si>
  <si>
    <t xml:space="preserve">       Nuclear magnetic resonance service center </t>
  </si>
  <si>
    <t xml:space="preserve">       SC&amp;E field support service center </t>
  </si>
  <si>
    <t xml:space="preserve">       Telecommunications network </t>
  </si>
  <si>
    <t xml:space="preserve">       Telecommunications telephone switch </t>
  </si>
  <si>
    <t xml:space="preserve">       WBIAS service center </t>
  </si>
  <si>
    <t xml:space="preserve">     Frey building service equipment upgrades</t>
  </si>
  <si>
    <t xml:space="preserve">     Information system 2010</t>
  </si>
  <si>
    <t xml:space="preserve">      Miscellaneous parking lot repairs and improvements</t>
  </si>
  <si>
    <t xml:space="preserve"> Deposits - Facility Planning and Control:</t>
  </si>
  <si>
    <t xml:space="preserve">         Total deposits - Facility Planning and Control</t>
  </si>
  <si>
    <t xml:space="preserve">       PBS histopathology lab service center</t>
  </si>
  <si>
    <t xml:space="preserve">       Physics shop service center</t>
  </si>
  <si>
    <t>SFP</t>
  </si>
  <si>
    <t xml:space="preserve">     Union --</t>
  </si>
  <si>
    <t xml:space="preserve">       Various hall equipment, furniture and renovations</t>
  </si>
  <si>
    <t xml:space="preserve">     Emergency operations center equipment</t>
  </si>
  <si>
    <t xml:space="preserve">     Capital outlay projects</t>
  </si>
  <si>
    <t xml:space="preserve">     Tiger stadium repairs</t>
  </si>
  <si>
    <t xml:space="preserve">       Gene probes and expression lab service center</t>
  </si>
  <si>
    <t xml:space="preserve">     Facility services computer equipment and software</t>
  </si>
  <si>
    <t xml:space="preserve">       Pentagon halls  </t>
  </si>
  <si>
    <t xml:space="preserve">     Thomas Boyd hall renovations</t>
  </si>
  <si>
    <t xml:space="preserve">     Business education complex</t>
  </si>
  <si>
    <t>ANALYSIS E</t>
  </si>
  <si>
    <t>Analysis of Changes In Unexpended Plant Fund Balances</t>
  </si>
  <si>
    <t xml:space="preserve">     University Auxiliary Services --</t>
  </si>
  <si>
    <t xml:space="preserve">     Hatcher hall renovations</t>
  </si>
  <si>
    <t xml:space="preserve">       Tiger card office renovations</t>
  </si>
  <si>
    <t xml:space="preserve">       The Five dining hall renovations</t>
  </si>
  <si>
    <t xml:space="preserve">       459 dining hall renovations</t>
  </si>
  <si>
    <t xml:space="preserve">       Parking garage</t>
  </si>
  <si>
    <t xml:space="preserve">       East Laville honors college</t>
  </si>
  <si>
    <t xml:space="preserve">     2010 bond issue -</t>
  </si>
  <si>
    <t xml:space="preserve">       Maintenance and risk reserve</t>
  </si>
  <si>
    <t xml:space="preserve">     Child care center reserve</t>
  </si>
  <si>
    <t xml:space="preserve">     Lifecycle replacements and improvements</t>
  </si>
  <si>
    <t xml:space="preserve">     Enterprise resource planning project</t>
  </si>
  <si>
    <t xml:space="preserve">     Public safety </t>
  </si>
  <si>
    <t xml:space="preserve">     Child care center</t>
  </si>
  <si>
    <t xml:space="preserve">       Annie Boyd hall renovation</t>
  </si>
  <si>
    <t xml:space="preserve">       New residence hall</t>
  </si>
  <si>
    <t xml:space="preserve">     Laboratory school </t>
  </si>
  <si>
    <t xml:space="preserve">       Kirby Smith hall</t>
  </si>
  <si>
    <t xml:space="preserve">     Student health center</t>
  </si>
  <si>
    <t xml:space="preserve">       Tiger lair renovations</t>
  </si>
  <si>
    <t xml:space="preserve">       System software</t>
  </si>
  <si>
    <t xml:space="preserve">       Old President's house </t>
  </si>
  <si>
    <t xml:space="preserve">     Parking, traffic, and transportation --</t>
  </si>
  <si>
    <t xml:space="preserve">       Cypress hall</t>
  </si>
  <si>
    <t xml:space="preserve">       Evangeline hall renovation</t>
  </si>
  <si>
    <t xml:space="preserve">     High performance computing infrastructure</t>
  </si>
  <si>
    <t xml:space="preserve">       West Lakeshore house</t>
  </si>
  <si>
    <t xml:space="preserve">       Career center furniture and technology</t>
  </si>
  <si>
    <t xml:space="preserve">       Exterior renovations</t>
  </si>
  <si>
    <t xml:space="preserve">       Vehicles</t>
  </si>
  <si>
    <t xml:space="preserve">     NCAM reserve</t>
  </si>
  <si>
    <t xml:space="preserve">     Campus relocation</t>
  </si>
  <si>
    <t xml:space="preserve">     Property insurance reserve</t>
  </si>
  <si>
    <t xml:space="preserve">     Worker's compensation reserve</t>
  </si>
  <si>
    <t xml:space="preserve">     French house renovation</t>
  </si>
  <si>
    <t xml:space="preserve">       New Greek house</t>
  </si>
  <si>
    <t xml:space="preserve">     Patrick F. Taylor renovations for engineering</t>
  </si>
  <si>
    <t xml:space="preserve">       Coastal studies institute field and lab service center</t>
  </si>
  <si>
    <t xml:space="preserve">       SEC Network</t>
  </si>
  <si>
    <t xml:space="preserve">     Campus enhancements</t>
  </si>
  <si>
    <t xml:space="preserve">     New faculty equipment and renovations</t>
  </si>
  <si>
    <t xml:space="preserve">       Enrollment management</t>
  </si>
  <si>
    <t xml:space="preserve">     New Greek house</t>
  </si>
  <si>
    <t xml:space="preserve">       Shared instrument facility</t>
  </si>
  <si>
    <t xml:space="preserve"> Maintenance Reserves:</t>
  </si>
  <si>
    <t xml:space="preserve">     Alex box</t>
  </si>
  <si>
    <t xml:space="preserve">     Basketball practice facility</t>
  </si>
  <si>
    <t xml:space="preserve">     Bernie Moore track stadium</t>
  </si>
  <si>
    <t xml:space="preserve">     Blake hall</t>
  </si>
  <si>
    <t xml:space="preserve">     East Laville</t>
  </si>
  <si>
    <t xml:space="preserve">     Lab School elementary wing</t>
  </si>
  <si>
    <t xml:space="preserve">     Residential college</t>
  </si>
  <si>
    <t xml:space="preserve">     Restricted streets</t>
  </si>
  <si>
    <t xml:space="preserve">     Rural life museum visitor center</t>
  </si>
  <si>
    <t xml:space="preserve">     South stadium parking lot</t>
  </si>
  <si>
    <t xml:space="preserve">     Tiger band hall</t>
  </si>
  <si>
    <t xml:space="preserve">     Tiger gift center</t>
  </si>
  <si>
    <t xml:space="preserve">     Tiger park</t>
  </si>
  <si>
    <t xml:space="preserve">     Union</t>
  </si>
  <si>
    <t xml:space="preserve">     University recreation </t>
  </si>
  <si>
    <t xml:space="preserve">     University recreation fields</t>
  </si>
  <si>
    <t xml:space="preserve">     West campus apartments</t>
  </si>
  <si>
    <t xml:space="preserve">     West Laville</t>
  </si>
  <si>
    <t xml:space="preserve">     X174 parking lot</t>
  </si>
  <si>
    <t xml:space="preserve">     624 parking lot</t>
  </si>
  <si>
    <t xml:space="preserve">         Total maintenance reserves</t>
  </si>
  <si>
    <t xml:space="preserve">     Patrick Taylor hall renovations</t>
  </si>
  <si>
    <t xml:space="preserve">     Golf course improvements</t>
  </si>
  <si>
    <t xml:space="preserve">     Hilltop arboretum</t>
  </si>
  <si>
    <t xml:space="preserve">       Total State Facility Planning and Control</t>
  </si>
  <si>
    <t xml:space="preserve">       Infrastructure as a service and storage</t>
  </si>
  <si>
    <t xml:space="preserve">     Veterinary medicine linear accelerator vault</t>
  </si>
  <si>
    <t xml:space="preserve">     Family housing</t>
  </si>
  <si>
    <t xml:space="preserve">     University expansion</t>
  </si>
  <si>
    <t xml:space="preserve">     Annie Boyd hall</t>
  </si>
  <si>
    <t xml:space="preserve">     Easy streets</t>
  </si>
  <si>
    <t xml:space="preserve">     Parking garage</t>
  </si>
  <si>
    <t xml:space="preserve">     Band hall fencing</t>
  </si>
  <si>
    <t xml:space="preserve">     Campus master plan</t>
  </si>
  <si>
    <t xml:space="preserve">       West campus apartments</t>
  </si>
  <si>
    <t xml:space="preserve">     Natatorium renovations and repairs</t>
  </si>
  <si>
    <t xml:space="preserve">       Frey fire suppression system</t>
  </si>
  <si>
    <t xml:space="preserve">     Dalrymple drive gateway signage</t>
  </si>
  <si>
    <t xml:space="preserve">     Health plan benefit administration system</t>
  </si>
  <si>
    <t xml:space="preserve">     JCI settlement</t>
  </si>
  <si>
    <t xml:space="preserve">     Maddox field house</t>
  </si>
  <si>
    <t xml:space="preserve">       Alex Box stadium</t>
  </si>
  <si>
    <t xml:space="preserve">       Football practice field</t>
  </si>
  <si>
    <t xml:space="preserve">       Volleyball locker room</t>
  </si>
  <si>
    <t xml:space="preserve">       Laville hall</t>
  </si>
  <si>
    <t xml:space="preserve">       Warehouse</t>
  </si>
  <si>
    <t xml:space="preserve">     Kirby Smith reuse</t>
  </si>
  <si>
    <t xml:space="preserve">     Tiger stadium field</t>
  </si>
  <si>
    <t xml:space="preserve">     Veterinary medicine laboratory renovation</t>
  </si>
  <si>
    <t xml:space="preserve">     Tiger park indoor batting facility</t>
  </si>
  <si>
    <t xml:space="preserve">     Natatorium roof replacement</t>
  </si>
  <si>
    <t xml:space="preserve">     Beach volleyball facility</t>
  </si>
  <si>
    <t xml:space="preserve">     Assembly center mechanical system upgrade</t>
  </si>
  <si>
    <t xml:space="preserve">     Cypress hall</t>
  </si>
  <si>
    <t xml:space="preserve">     Paul M. Hebert Law Center</t>
  </si>
  <si>
    <t xml:space="preserve">       Atrium upgrade</t>
  </si>
  <si>
    <t xml:space="preserve">       Energy law renovation</t>
  </si>
  <si>
    <t xml:space="preserve">       Restroom renovation</t>
  </si>
  <si>
    <t xml:space="preserve">     Casualty insurance reserve</t>
  </si>
  <si>
    <t xml:space="preserve">     Athletics NCAA distribution</t>
  </si>
  <si>
    <t xml:space="preserve">     CAMD roof replacement</t>
  </si>
  <si>
    <t xml:space="preserve">     Campus addressing project</t>
  </si>
  <si>
    <t xml:space="preserve">     Dairy abatement and domolition</t>
  </si>
  <si>
    <t xml:space="preserve">       Annie Boyd hall</t>
  </si>
  <si>
    <t xml:space="preserve">     Visitor center renovation</t>
  </si>
  <si>
    <t xml:space="preserve">     Middleton library basement waterproofing</t>
  </si>
  <si>
    <t xml:space="preserve">     Civil reconstruction of storm system - Atkinson</t>
  </si>
  <si>
    <t>PJ0000079</t>
  </si>
  <si>
    <t>PJ000080</t>
  </si>
  <si>
    <t>PJ000081</t>
  </si>
  <si>
    <t>PJ000083</t>
  </si>
  <si>
    <t>PJ000086</t>
  </si>
  <si>
    <t>PJ000087</t>
  </si>
  <si>
    <t>PJ000088</t>
  </si>
  <si>
    <t>PJ000091</t>
  </si>
  <si>
    <t>PJ000093</t>
  </si>
  <si>
    <t>PJ000094</t>
  </si>
  <si>
    <t>PJ000097</t>
  </si>
  <si>
    <t xml:space="preserve">       Division of laboratory animal medicine farm operations</t>
  </si>
  <si>
    <t>PJ000098</t>
  </si>
  <si>
    <t>PJ000099</t>
  </si>
  <si>
    <t>PJ000100</t>
  </si>
  <si>
    <t>PJ000102</t>
  </si>
  <si>
    <t>PJ000103</t>
  </si>
  <si>
    <t>PJ000104</t>
  </si>
  <si>
    <t>PJ000108</t>
  </si>
  <si>
    <t>PJ000109</t>
  </si>
  <si>
    <t>PJ000113</t>
  </si>
  <si>
    <t>PJ000114</t>
  </si>
  <si>
    <t xml:space="preserve">     University recreation complex</t>
  </si>
  <si>
    <t>PJ000120</t>
  </si>
  <si>
    <t>PJ000121</t>
  </si>
  <si>
    <t xml:space="preserve">       Satellite facility</t>
  </si>
  <si>
    <t>PJ000122</t>
  </si>
  <si>
    <t>PJ000127</t>
  </si>
  <si>
    <t>PJ000128</t>
  </si>
  <si>
    <t>PJ000132</t>
  </si>
  <si>
    <t>PJ000133</t>
  </si>
  <si>
    <t>PJ000137</t>
  </si>
  <si>
    <t>PJ000138</t>
  </si>
  <si>
    <t>PJ000141</t>
  </si>
  <si>
    <t>PJ000142</t>
  </si>
  <si>
    <t>PJ000143</t>
  </si>
  <si>
    <t>PJ000145</t>
  </si>
  <si>
    <t>PJ000148</t>
  </si>
  <si>
    <t>PJ000149</t>
  </si>
  <si>
    <t>PJ000150</t>
  </si>
  <si>
    <t>PJ000154</t>
  </si>
  <si>
    <t>PJ000156</t>
  </si>
  <si>
    <t>PJ000159</t>
  </si>
  <si>
    <t>PJ000161</t>
  </si>
  <si>
    <t>PJ000162</t>
  </si>
  <si>
    <t>PJ000163</t>
  </si>
  <si>
    <t>PJ000169</t>
  </si>
  <si>
    <t>PJ000171</t>
  </si>
  <si>
    <t>PJ000177</t>
  </si>
  <si>
    <t>PJ000180</t>
  </si>
  <si>
    <t>PJ000210</t>
  </si>
  <si>
    <t>PJ000219</t>
  </si>
  <si>
    <t>PJ000233</t>
  </si>
  <si>
    <t>PJ000260</t>
  </si>
  <si>
    <t>PJ000307</t>
  </si>
  <si>
    <t>PJ000241</t>
  </si>
  <si>
    <t>PJ000295</t>
  </si>
  <si>
    <t>PJ000303</t>
  </si>
  <si>
    <t>PJ000304</t>
  </si>
  <si>
    <t>PJ000313</t>
  </si>
  <si>
    <t>PJ000314</t>
  </si>
  <si>
    <t>PJ000315</t>
  </si>
  <si>
    <t>PJ000322</t>
  </si>
  <si>
    <t>PJ000335</t>
  </si>
  <si>
    <t>PJ000339</t>
  </si>
  <si>
    <t>PJ000340</t>
  </si>
  <si>
    <t>PJ000351</t>
  </si>
  <si>
    <t>PJ000354</t>
  </si>
  <si>
    <t>PJ000359</t>
  </si>
  <si>
    <t>PJ000571</t>
  </si>
  <si>
    <t>PJ000550</t>
  </si>
  <si>
    <t>PJ000199</t>
  </si>
  <si>
    <t>PJ000201</t>
  </si>
  <si>
    <t>PJ000532</t>
  </si>
  <si>
    <t>PJ000534</t>
  </si>
  <si>
    <t>PJ000249</t>
  </si>
  <si>
    <t>PJ000261</t>
  </si>
  <si>
    <t>PJ000345</t>
  </si>
  <si>
    <t>PJ000476</t>
  </si>
  <si>
    <t>PJ000486</t>
  </si>
  <si>
    <t>PJ000487</t>
  </si>
  <si>
    <t>PJ000488</t>
  </si>
  <si>
    <t>PJ000497</t>
  </si>
  <si>
    <t>PJ000566</t>
  </si>
  <si>
    <t xml:space="preserve">     Memorial tower</t>
  </si>
  <si>
    <t>PJ000580</t>
  </si>
  <si>
    <t xml:space="preserve">     Stephenson veterinary hospital</t>
  </si>
  <si>
    <t>PJ000581</t>
  </si>
  <si>
    <t>PJ000648</t>
  </si>
  <si>
    <t>PJ000432</t>
  </si>
  <si>
    <t>PJ000337</t>
  </si>
  <si>
    <t>PJ000572</t>
  </si>
  <si>
    <t>PJ000105</t>
  </si>
  <si>
    <t>PJ000374</t>
  </si>
  <si>
    <t>PJ000373</t>
  </si>
  <si>
    <t xml:space="preserve">     Honors college</t>
  </si>
  <si>
    <t>PJ000660</t>
  </si>
  <si>
    <t xml:space="preserve">       Blake hall</t>
  </si>
  <si>
    <t>PJ000657</t>
  </si>
  <si>
    <t>PJ000655</t>
  </si>
  <si>
    <t>PJ000654</t>
  </si>
  <si>
    <t>PJ000653</t>
  </si>
  <si>
    <t>PJ000649</t>
  </si>
  <si>
    <t xml:space="preserve">       Soccer stadium</t>
  </si>
  <si>
    <t>PJ000643</t>
  </si>
  <si>
    <t>PJ000642</t>
  </si>
  <si>
    <t>PJ000641</t>
  </si>
  <si>
    <t xml:space="preserve">     PERTT lab</t>
  </si>
  <si>
    <t>PJ000640</t>
  </si>
  <si>
    <t>PJ000639</t>
  </si>
  <si>
    <t>PJ000636</t>
  </si>
  <si>
    <t>PJ000635</t>
  </si>
  <si>
    <t>PJ000634</t>
  </si>
  <si>
    <t>PJ000633</t>
  </si>
  <si>
    <t>PJ000632</t>
  </si>
  <si>
    <t>PJ000631</t>
  </si>
  <si>
    <t>PJ000630</t>
  </si>
  <si>
    <t>PJ000629</t>
  </si>
  <si>
    <t>PJ000628</t>
  </si>
  <si>
    <t>PJ000627</t>
  </si>
  <si>
    <t>PJ000626</t>
  </si>
  <si>
    <t>PJ000625</t>
  </si>
  <si>
    <t>PJ000621</t>
  </si>
  <si>
    <t>PJ000605</t>
  </si>
  <si>
    <t xml:space="preserve">     Foster hall</t>
  </si>
  <si>
    <t>PJ000604</t>
  </si>
  <si>
    <t>PJ000601</t>
  </si>
  <si>
    <t xml:space="preserve">     Hilltop pedestrian bridge</t>
  </si>
  <si>
    <t>PJ000600</t>
  </si>
  <si>
    <t xml:space="preserve">     Hill Memorial Library</t>
  </si>
  <si>
    <t>PJ000599</t>
  </si>
  <si>
    <t xml:space="preserve">     Geology building</t>
  </si>
  <si>
    <t>PJ000598</t>
  </si>
  <si>
    <t xml:space="preserve">     Dodson hall</t>
  </si>
  <si>
    <t>PJ000597</t>
  </si>
  <si>
    <t xml:space="preserve">     Design building</t>
  </si>
  <si>
    <t>PJ000596</t>
  </si>
  <si>
    <t xml:space="preserve">     Olinde career center</t>
  </si>
  <si>
    <t>PJ000595</t>
  </si>
  <si>
    <t>PJ000593</t>
  </si>
  <si>
    <t>PJ000591</t>
  </si>
  <si>
    <t xml:space="preserve">     Choppin hall </t>
  </si>
  <si>
    <t>PJ000589</t>
  </si>
  <si>
    <t>PJ000579</t>
  </si>
  <si>
    <t>PJ000564</t>
  </si>
  <si>
    <t>PJ000563</t>
  </si>
  <si>
    <t>PJ000556</t>
  </si>
  <si>
    <t>PJ000551</t>
  </si>
  <si>
    <t>PJ000548</t>
  </si>
  <si>
    <t>PJ000545</t>
  </si>
  <si>
    <t>PJ000460</t>
  </si>
  <si>
    <t>PJ000471</t>
  </si>
  <si>
    <t>PJ000082</t>
  </si>
  <si>
    <t>PJ000084</t>
  </si>
  <si>
    <t>PJ000085</t>
  </si>
  <si>
    <t>PJ000110</t>
  </si>
  <si>
    <t>PJ000111</t>
  </si>
  <si>
    <t>PJ000178</t>
  </si>
  <si>
    <t>PJ000179</t>
  </si>
  <si>
    <t>PJ000436</t>
  </si>
  <si>
    <t>PJ000533</t>
  </si>
  <si>
    <t>PJ000190</t>
  </si>
  <si>
    <t>PJ000191</t>
  </si>
  <si>
    <t>PJ000192</t>
  </si>
  <si>
    <t>PJ000193</t>
  </si>
  <si>
    <t>PJ000552</t>
  </si>
  <si>
    <t>PJ000441</t>
  </si>
  <si>
    <t>PJ000553</t>
  </si>
  <si>
    <t>PJ000554</t>
  </si>
  <si>
    <t>PJ000372</t>
  </si>
  <si>
    <t>PJ000170</t>
  </si>
  <si>
    <t>PJ000147</t>
  </si>
  <si>
    <t>PJ000433</t>
  </si>
  <si>
    <t>PJ000458</t>
  </si>
  <si>
    <t>PJ000342</t>
  </si>
  <si>
    <t>PJ000459</t>
  </si>
  <si>
    <t>PJ000343</t>
  </si>
  <si>
    <t>PJ000457</t>
  </si>
  <si>
    <t>PJ000329</t>
  </si>
  <si>
    <t>PJ000330</t>
  </si>
  <si>
    <t>PJ000358</t>
  </si>
  <si>
    <t>PJ000336</t>
  </si>
  <si>
    <t>PJ000348</t>
  </si>
  <si>
    <t>PJ000477</t>
  </si>
  <si>
    <t>PJ000357</t>
  </si>
  <si>
    <t>PJ000353</t>
  </si>
  <si>
    <t>PJ000524</t>
  </si>
  <si>
    <t>PJ000491</t>
  </si>
  <si>
    <t>PJ000134</t>
  </si>
  <si>
    <t>PJ000151</t>
  </si>
  <si>
    <t>PJ000538</t>
  </si>
  <si>
    <t>PJ000492</t>
  </si>
  <si>
    <t>PJ000130</t>
  </si>
  <si>
    <t>PJ000302</t>
  </si>
  <si>
    <t>PJ000311</t>
  </si>
  <si>
    <t>PJ000543</t>
  </si>
  <si>
    <t>PJ000174</t>
  </si>
  <si>
    <t>PJ000175</t>
  </si>
  <si>
    <t>PJ000245</t>
  </si>
  <si>
    <t>PJ000252</t>
  </si>
  <si>
    <t>PJ000526</t>
  </si>
  <si>
    <t>PJ000222</t>
  </si>
  <si>
    <t>PJ000253</t>
  </si>
  <si>
    <t>PJ000258</t>
  </si>
  <si>
    <t>PJ000448</t>
  </si>
  <si>
    <t>PJ000475</t>
  </si>
  <si>
    <t>PJ000438</t>
  </si>
  <si>
    <t>PJ000439</t>
  </si>
  <si>
    <t>PJ000235</t>
  </si>
  <si>
    <t>PJ000494</t>
  </si>
  <si>
    <t>PJ000290</t>
  </si>
  <si>
    <t>PJ000281</t>
  </si>
  <si>
    <t>PJ000287</t>
  </si>
  <si>
    <t>PJ000278</t>
  </si>
  <si>
    <t>PJ000279</t>
  </si>
  <si>
    <t>PJ000123</t>
  </si>
  <si>
    <t>PJ000126</t>
  </si>
  <si>
    <t>PJ000263</t>
  </si>
  <si>
    <t>PJ000266</t>
  </si>
  <si>
    <t>PJ000259</t>
  </si>
  <si>
    <t>PJ000265</t>
  </si>
  <si>
    <t>PJ000185</t>
  </si>
  <si>
    <t>PJ000217</t>
  </si>
  <si>
    <t>PJ000194</t>
  </si>
  <si>
    <t>PJ000181</t>
  </si>
  <si>
    <t xml:space="preserve">     Military science roof replacement</t>
  </si>
  <si>
    <t>PJ000246</t>
  </si>
  <si>
    <t>PJ000474</t>
  </si>
  <si>
    <t>PJ000435</t>
  </si>
  <si>
    <t>PJ000447</t>
  </si>
  <si>
    <t>PJ000205</t>
  </si>
  <si>
    <t>PJ000211</t>
  </si>
  <si>
    <t>PJ000242-244</t>
  </si>
  <si>
    <t>PJ000445-446</t>
  </si>
  <si>
    <t>PJ000473</t>
  </si>
  <si>
    <t>PJ000525</t>
  </si>
  <si>
    <t>PJ000183-184</t>
  </si>
  <si>
    <t>PJ000155</t>
  </si>
  <si>
    <t>PJ000167</t>
  </si>
  <si>
    <t>PJ000129</t>
  </si>
  <si>
    <t>PJ000146</t>
  </si>
  <si>
    <t>PJ000152</t>
  </si>
  <si>
    <t>PJ000165</t>
  </si>
  <si>
    <t>PJ000135</t>
  </si>
  <si>
    <t>PJ000319</t>
  </si>
  <si>
    <t>PJ000324</t>
  </si>
  <si>
    <t>PJ000326</t>
  </si>
  <si>
    <t>PJ000452-455</t>
  </si>
  <si>
    <t>PJ000546-547</t>
  </si>
  <si>
    <t>PJ000225</t>
  </si>
  <si>
    <t>PJ000228</t>
  </si>
  <si>
    <t>PJ000231</t>
  </si>
  <si>
    <t>PJ000153</t>
  </si>
  <si>
    <t>PJ000366</t>
  </si>
  <si>
    <t>PJ000275</t>
  </si>
  <si>
    <t>PJ000280</t>
  </si>
  <si>
    <t>PJ000283-285</t>
  </si>
  <si>
    <t>PJ000288</t>
  </si>
  <si>
    <t>PJ000297-298</t>
  </si>
  <si>
    <t>PJ000300</t>
  </si>
  <si>
    <t>PJ000451</t>
  </si>
  <si>
    <t>PJ000489</t>
  </si>
  <si>
    <t>PJ000490</t>
  </si>
  <si>
    <t>PJ000493</t>
  </si>
  <si>
    <t>PJ000530-531</t>
  </si>
  <si>
    <t>PJ000541</t>
  </si>
  <si>
    <t>PJ000568-569</t>
  </si>
  <si>
    <t>PJ000364</t>
  </si>
  <si>
    <t>PJ000363</t>
  </si>
  <si>
    <t>PJ000361</t>
  </si>
  <si>
    <t>PJ000362</t>
  </si>
  <si>
    <t>PJ000140</t>
  </si>
  <si>
    <t>PJ000160</t>
  </si>
  <si>
    <t>PJ000428</t>
  </si>
  <si>
    <t>PJ000620</t>
  </si>
  <si>
    <t xml:space="preserve">     Energy, coast and environment building</t>
  </si>
  <si>
    <t>For the year ended June 30, 2019</t>
  </si>
  <si>
    <t>PJ000518</t>
  </si>
  <si>
    <t xml:space="preserve">     Old President's house interior renovation</t>
  </si>
  <si>
    <t>PJ000705</t>
  </si>
  <si>
    <t xml:space="preserve">     Natatorium mechanical work</t>
  </si>
  <si>
    <t>PJ000664</t>
  </si>
  <si>
    <t>PJ000665</t>
  </si>
  <si>
    <t>PJ000200</t>
  </si>
  <si>
    <t>PJ000202-4</t>
  </si>
  <si>
    <t>PJ000206-9</t>
  </si>
  <si>
    <t>PJ000442-3</t>
  </si>
  <si>
    <t>PJ000725-7</t>
  </si>
  <si>
    <t>PJ000728</t>
  </si>
  <si>
    <t>PJ000724</t>
  </si>
  <si>
    <t xml:space="preserve">       Division of laboratory animal medicine </t>
  </si>
  <si>
    <t>PJ000269-72</t>
  </si>
  <si>
    <t>PJ000644-6</t>
  </si>
  <si>
    <t xml:space="preserve">     Student media technology upgrade</t>
  </si>
  <si>
    <t>PJ000729</t>
  </si>
  <si>
    <t>PJ000682</t>
  </si>
  <si>
    <t>PJ699</t>
  </si>
  <si>
    <t xml:space="preserve">       Garig hall</t>
  </si>
  <si>
    <t>PJ000713</t>
  </si>
  <si>
    <t>714-5</t>
  </si>
  <si>
    <t>PJ000115-9</t>
  </si>
  <si>
    <t>PJ000685</t>
  </si>
  <si>
    <t xml:space="preserve">     Allison overhaul and upgrade</t>
  </si>
  <si>
    <t xml:space="preserve">     Enhancing the core project - refuse and recycle</t>
  </si>
  <si>
    <t xml:space="preserve">     Music building enry renovation</t>
  </si>
  <si>
    <t xml:space="preserve">     West quad site improvements</t>
  </si>
  <si>
    <t xml:space="preserve">     Enchanted forest improvements</t>
  </si>
  <si>
    <t xml:space="preserve">     Nicholson hall roof replacement</t>
  </si>
  <si>
    <t xml:space="preserve">     Olinde Career Center technology and equipment</t>
  </si>
  <si>
    <t xml:space="preserve">     Audubon sugar renovation</t>
  </si>
  <si>
    <t xml:space="preserve">     Burden road improvements</t>
  </si>
  <si>
    <t xml:space="preserve">     Patrick F. Taylor construction and equipment</t>
  </si>
  <si>
    <t xml:space="preserve">     Shaw center</t>
  </si>
  <si>
    <t xml:space="preserve">     Pleasant hall renovations</t>
  </si>
  <si>
    <t xml:space="preserve">     InfoEd enterprise research administration software</t>
  </si>
  <si>
    <t xml:space="preserve">       Nicholson gateway equipment</t>
  </si>
  <si>
    <t xml:space="preserve">       Spruce equipment</t>
  </si>
  <si>
    <t xml:space="preserve">     H.P. Long fieldhouse renovation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</si>
</sst>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[$-409]mmmm\ d\,\ yyyy;@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color rgb="FF461D7C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461D7C"/>
      <name val="Calibri"/>
      <family val="2"/>
      <scheme val="minor"/>
    </font>
    <font>
      <sz val="11"/>
      <color rgb="FF461D7C"/>
      <name val="Calibri"/>
      <family val="2"/>
      <scheme val="minor"/>
    </font>
    <font>
      <b/>
      <sz val="9"/>
      <color rgb="FF461D7C"/>
      <name val="Calibri"/>
      <family val="2"/>
      <scheme val="minor"/>
    </font>
    <font>
      <sz val="9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color rgb="FF461D7C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164" fontId="4" fillId="0" borderId="0" xfId="2" applyNumberFormat="1" applyFont="1" applyAlignment="1" applyProtection="1">
      <alignment vertical="center"/>
    </xf>
    <xf numFmtId="0" fontId="5" fillId="0" borderId="0" xfId="0" applyFont="1"/>
    <xf numFmtId="43" fontId="6" fillId="0" borderId="0" xfId="1" applyFont="1" applyFill="1"/>
    <xf numFmtId="164" fontId="6" fillId="0" borderId="0" xfId="1" applyNumberFormat="1" applyFont="1" applyFill="1" applyAlignment="1">
      <alignment horizontal="center"/>
    </xf>
    <xf numFmtId="164" fontId="6" fillId="0" borderId="0" xfId="1" applyNumberFormat="1" applyFont="1" applyFill="1"/>
    <xf numFmtId="0" fontId="6" fillId="0" borderId="0" xfId="0" applyFont="1"/>
    <xf numFmtId="0" fontId="8" fillId="0" borderId="0" xfId="0" applyFont="1"/>
    <xf numFmtId="164" fontId="9" fillId="0" borderId="0" xfId="2" applyNumberFormat="1" applyFont="1" applyFill="1" applyBorder="1" applyAlignment="1" applyProtection="1">
      <alignment vertical="center"/>
    </xf>
    <xf numFmtId="164" fontId="9" fillId="0" borderId="0" xfId="2" applyNumberFormat="1" applyFont="1" applyFill="1" applyBorder="1" applyAlignment="1" applyProtection="1">
      <alignment horizontal="center" vertical="center"/>
    </xf>
    <xf numFmtId="164" fontId="10" fillId="0" borderId="0" xfId="1" applyNumberFormat="1" applyFont="1" applyAlignment="1" applyProtection="1">
      <alignment vertical="center"/>
    </xf>
    <xf numFmtId="164" fontId="5" fillId="0" borderId="0" xfId="1" applyNumberFormat="1" applyFont="1" applyFill="1" applyAlignment="1" applyProtection="1">
      <alignment vertical="center"/>
    </xf>
    <xf numFmtId="166" fontId="5" fillId="0" borderId="1" xfId="1" applyNumberFormat="1" applyFont="1" applyFill="1" applyBorder="1" applyAlignment="1" applyProtection="1">
      <alignment horizontal="center" vertical="center"/>
    </xf>
    <xf numFmtId="164" fontId="5" fillId="0" borderId="0" xfId="1" applyNumberFormat="1" applyFont="1" applyFill="1" applyBorder="1" applyAlignment="1" applyProtection="1">
      <alignment vertical="center"/>
    </xf>
    <xf numFmtId="164" fontId="5" fillId="0" borderId="1" xfId="1" applyNumberFormat="1" applyFont="1" applyFill="1" applyBorder="1" applyAlignment="1" applyProtection="1">
      <alignment horizontal="center" vertical="center"/>
    </xf>
    <xf numFmtId="0" fontId="5" fillId="0" borderId="0" xfId="0" applyFont="1" applyFill="1"/>
    <xf numFmtId="0" fontId="6" fillId="0" borderId="0" xfId="0" applyFont="1" applyFill="1"/>
    <xf numFmtId="164" fontId="5" fillId="0" borderId="0" xfId="1" applyNumberFormat="1" applyFont="1" applyFill="1" applyAlignment="1" applyProtection="1">
      <alignment horizontal="center" vertical="center"/>
    </xf>
    <xf numFmtId="165" fontId="5" fillId="0" borderId="0" xfId="3" applyNumberFormat="1" applyFont="1" applyFill="1" applyAlignment="1" applyProtection="1">
      <alignment vertical="center"/>
    </xf>
    <xf numFmtId="164" fontId="5" fillId="0" borderId="2" xfId="1" applyNumberFormat="1" applyFont="1" applyFill="1" applyBorder="1" applyAlignment="1" applyProtection="1">
      <alignment vertical="center"/>
    </xf>
    <xf numFmtId="43" fontId="6" fillId="2" borderId="0" xfId="1" applyFont="1" applyFill="1"/>
    <xf numFmtId="164" fontId="6" fillId="2" borderId="0" xfId="1" applyNumberFormat="1" applyFont="1" applyFill="1" applyAlignment="1">
      <alignment horizontal="center"/>
    </xf>
    <xf numFmtId="164" fontId="5" fillId="0" borderId="3" xfId="1" applyNumberFormat="1" applyFont="1" applyFill="1" applyBorder="1" applyAlignment="1" applyProtection="1">
      <alignment vertical="center"/>
    </xf>
    <xf numFmtId="164" fontId="6" fillId="3" borderId="0" xfId="1" applyNumberFormat="1" applyFont="1" applyFill="1" applyAlignment="1">
      <alignment horizontal="center"/>
    </xf>
    <xf numFmtId="43" fontId="6" fillId="0" borderId="0" xfId="1" applyFont="1" applyFill="1" applyBorder="1"/>
    <xf numFmtId="164" fontId="5" fillId="0" borderId="3" xfId="3" applyNumberFormat="1" applyFont="1" applyFill="1" applyBorder="1" applyAlignment="1" applyProtection="1">
      <alignment vertical="center"/>
    </xf>
    <xf numFmtId="37" fontId="5" fillId="0" borderId="3" xfId="3" applyNumberFormat="1" applyFont="1" applyFill="1" applyBorder="1" applyAlignment="1" applyProtection="1">
      <alignment vertical="center"/>
    </xf>
    <xf numFmtId="164" fontId="6" fillId="4" borderId="0" xfId="1" applyNumberFormat="1" applyFont="1" applyFill="1" applyAlignment="1">
      <alignment horizontal="center"/>
    </xf>
    <xf numFmtId="43" fontId="6" fillId="0" borderId="0" xfId="1" applyNumberFormat="1" applyFont="1" applyFill="1" applyBorder="1" applyAlignment="1" applyProtection="1">
      <alignment vertical="center"/>
    </xf>
    <xf numFmtId="43" fontId="6" fillId="3" borderId="0" xfId="1" applyFont="1" applyFill="1" applyAlignment="1">
      <alignment horizontal="center"/>
    </xf>
    <xf numFmtId="165" fontId="5" fillId="0" borderId="4" xfId="3" applyNumberFormat="1" applyFont="1" applyFill="1" applyBorder="1" applyAlignment="1" applyProtection="1">
      <alignment vertical="center"/>
    </xf>
    <xf numFmtId="164" fontId="5" fillId="0" borderId="0" xfId="1" applyNumberFormat="1" applyFont="1" applyFill="1" applyAlignment="1" applyProtection="1">
      <alignment horizontal="right" vertical="center"/>
    </xf>
    <xf numFmtId="164" fontId="5" fillId="0" borderId="1" xfId="1" applyNumberFormat="1" applyFont="1" applyFill="1" applyBorder="1" applyAlignment="1" applyProtection="1">
      <alignment vertical="center"/>
    </xf>
    <xf numFmtId="164" fontId="5" fillId="0" borderId="5" xfId="0" applyNumberFormat="1" applyFont="1" applyFill="1" applyBorder="1"/>
    <xf numFmtId="164" fontId="5" fillId="0" borderId="0" xfId="0" applyNumberFormat="1" applyFont="1" applyFill="1"/>
    <xf numFmtId="164" fontId="10" fillId="0" borderId="0" xfId="1" applyNumberFormat="1" applyFont="1" applyFill="1" applyAlignment="1" applyProtection="1">
      <alignment vertical="center"/>
    </xf>
    <xf numFmtId="164" fontId="10" fillId="0" borderId="0" xfId="1" applyNumberFormat="1" applyFont="1" applyFill="1" applyAlignment="1" applyProtection="1">
      <alignment horizontal="right" vertical="center"/>
    </xf>
    <xf numFmtId="43" fontId="6" fillId="0" borderId="0" xfId="1" applyFont="1" applyFill="1" applyAlignment="1">
      <alignment horizontal="center"/>
    </xf>
    <xf numFmtId="164" fontId="6" fillId="5" borderId="0" xfId="1" applyNumberFormat="1" applyFont="1" applyFill="1" applyAlignment="1">
      <alignment horizontal="center"/>
    </xf>
    <xf numFmtId="164" fontId="6" fillId="5" borderId="0" xfId="1" applyNumberFormat="1" applyFont="1" applyFill="1"/>
    <xf numFmtId="43" fontId="6" fillId="5" borderId="0" xfId="1" applyFont="1" applyFill="1" applyAlignment="1">
      <alignment horizontal="center"/>
    </xf>
    <xf numFmtId="43" fontId="6" fillId="0" borderId="0" xfId="0" applyNumberFormat="1" applyFont="1" applyFill="1"/>
    <xf numFmtId="0" fontId="6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0" fontId="6" fillId="0" borderId="0" xfId="0" applyFont="1" applyFill="1" applyAlignment="1">
      <alignment horizontal="center"/>
    </xf>
    <xf numFmtId="43" fontId="6" fillId="4" borderId="0" xfId="0" applyNumberFormat="1" applyFont="1" applyFill="1" applyAlignment="1">
      <alignment horizontal="center"/>
    </xf>
    <xf numFmtId="0" fontId="6" fillId="5" borderId="0" xfId="0" applyFont="1" applyFill="1" applyAlignment="1">
      <alignment horizontal="center"/>
    </xf>
    <xf numFmtId="43" fontId="6" fillId="0" borderId="0" xfId="1" applyFont="1" applyFill="1" applyAlignment="1">
      <alignment horizontal="center"/>
    </xf>
    <xf numFmtId="43" fontId="6" fillId="6" borderId="0" xfId="1" applyFont="1" applyFill="1" applyAlignment="1">
      <alignment horizontal="center"/>
    </xf>
    <xf numFmtId="43" fontId="6" fillId="5" borderId="0" xfId="1" applyFont="1" applyFill="1"/>
    <xf numFmtId="164" fontId="11" fillId="6" borderId="0" xfId="1" applyNumberFormat="1" applyFont="1" applyFill="1" applyAlignment="1">
      <alignment horizontal="center"/>
    </xf>
    <xf numFmtId="43" fontId="12" fillId="0" borderId="0" xfId="1" applyFont="1" applyFill="1"/>
    <xf numFmtId="164" fontId="11" fillId="2" borderId="0" xfId="1" applyNumberFormat="1" applyFont="1" applyFill="1" applyAlignment="1">
      <alignment horizontal="center"/>
    </xf>
    <xf numFmtId="43" fontId="11" fillId="5" borderId="0" xfId="1" applyFont="1" applyFill="1" applyAlignment="1">
      <alignment horizontal="center"/>
    </xf>
    <xf numFmtId="43" fontId="6" fillId="7" borderId="0" xfId="1" applyFont="1" applyFill="1"/>
    <xf numFmtId="43" fontId="6" fillId="0" borderId="0" xfId="1" applyFont="1" applyFill="1" applyAlignment="1">
      <alignment horizontal="center"/>
    </xf>
    <xf numFmtId="43" fontId="6" fillId="0" borderId="0" xfId="1" applyFont="1" applyFill="1" applyAlignment="1">
      <alignment horizontal="center"/>
    </xf>
    <xf numFmtId="164" fontId="6" fillId="0" borderId="0" xfId="1" applyNumberFormat="1" applyFont="1" applyFill="1" applyAlignment="1"/>
    <xf numFmtId="43" fontId="6" fillId="8" borderId="0" xfId="1" applyFont="1" applyFill="1"/>
    <xf numFmtId="164" fontId="13" fillId="5" borderId="0" xfId="1" applyNumberFormat="1" applyFont="1" applyFill="1" applyAlignment="1">
      <alignment horizontal="center"/>
    </xf>
    <xf numFmtId="164" fontId="11" fillId="9" borderId="0" xfId="1" applyNumberFormat="1" applyFont="1" applyFill="1" applyAlignment="1">
      <alignment horizontal="center"/>
    </xf>
    <xf numFmtId="165" fontId="5" fillId="0" borderId="0" xfId="1" applyNumberFormat="1" applyFont="1" applyFill="1" applyAlignment="1" applyProtection="1">
      <alignment vertical="center"/>
    </xf>
    <xf numFmtId="164" fontId="14" fillId="0" borderId="0" xfId="2" applyNumberFormat="1" applyFont="1" applyFill="1" applyBorder="1" applyAlignment="1" applyProtection="1">
      <alignment horizontal="center" vertical="center"/>
    </xf>
    <xf numFmtId="43" fontId="6" fillId="0" borderId="0" xfId="1" applyFont="1" applyFill="1" applyAlignment="1"/>
    <xf numFmtId="164" fontId="14" fillId="0" borderId="0" xfId="2" applyNumberFormat="1" applyFont="1" applyFill="1" applyBorder="1" applyAlignment="1" applyProtection="1">
      <alignment vertical="center"/>
    </xf>
    <xf numFmtId="164" fontId="7" fillId="0" borderId="0" xfId="2" applyNumberFormat="1" applyFont="1" applyFill="1" applyBorder="1" applyAlignment="1" applyProtection="1">
      <alignment horizontal="center" vertical="center"/>
    </xf>
  </cellXfs>
  <cellStyles count="4">
    <cellStyle name="Comma" xfId="1" builtinId="3"/>
    <cellStyle name="Comma 2" xfId="2"/>
    <cellStyle name="Currency" xfId="3" builtinId="4"/>
    <cellStyle name="Normal" xfId="0" builtinId="0"/>
  </cellStyles>
  <dxfs count="4">
    <dxf>
      <fill>
        <patternFill>
          <bgColor rgb="FFF5ECF7"/>
        </patternFill>
      </fill>
    </dxf>
    <dxf>
      <fill>
        <patternFill>
          <bgColor rgb="FFF5ECF7"/>
        </patternFill>
      </fill>
    </dxf>
    <dxf>
      <fill>
        <patternFill>
          <bgColor rgb="FFF5ECF7"/>
        </patternFill>
      </fill>
    </dxf>
    <dxf>
      <fill>
        <patternFill>
          <bgColor rgb="FFF5ECF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2</xdr:row>
      <xdr:rowOff>28575</xdr:rowOff>
    </xdr:from>
    <xdr:to>
      <xdr:col>0</xdr:col>
      <xdr:colOff>2066925</xdr:colOff>
      <xdr:row>6</xdr:row>
      <xdr:rowOff>47625</xdr:rowOff>
    </xdr:to>
    <xdr:pic>
      <xdr:nvPicPr>
        <xdr:cNvPr id="1498" name="Picture 2" descr="lsu 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371475"/>
          <a:ext cx="17049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65"/>
  <sheetViews>
    <sheetView tabSelected="1" zoomScaleNormal="100" zoomScaleSheetLayoutView="100" workbookViewId="0">
      <selection activeCell="U7" sqref="U6:U7"/>
    </sheetView>
  </sheetViews>
  <sheetFormatPr defaultRowHeight="12.75" x14ac:dyDescent="0.2"/>
  <cols>
    <col min="1" max="1" width="46.42578125" style="15" bestFit="1" customWidth="1"/>
    <col min="2" max="2" width="14.7109375" style="15" customWidth="1"/>
    <col min="3" max="3" width="2.85546875" style="15" customWidth="1"/>
    <col min="4" max="4" width="14.140625" style="15" customWidth="1"/>
    <col min="5" max="5" width="2.85546875" style="15" customWidth="1"/>
    <col min="6" max="6" width="14.140625" style="15" customWidth="1"/>
    <col min="7" max="7" width="2.85546875" style="15" customWidth="1"/>
    <col min="8" max="8" width="13.7109375" style="15" customWidth="1"/>
    <col min="9" max="9" width="2.28515625" style="15" customWidth="1"/>
    <col min="10" max="10" width="13.7109375" style="3" hidden="1" customWidth="1"/>
    <col min="11" max="11" width="11.28515625" style="5" hidden="1" customWidth="1"/>
    <col min="12" max="12" width="11.42578125" style="4" hidden="1" customWidth="1"/>
    <col min="13" max="13" width="10.5703125" style="4" hidden="1" customWidth="1"/>
    <col min="14" max="14" width="11.42578125" style="44" hidden="1" customWidth="1"/>
    <col min="15" max="17" width="11.42578125" style="37" hidden="1" customWidth="1"/>
    <col min="18" max="18" width="8.42578125" style="37" hidden="1" customWidth="1"/>
    <col min="19" max="21" width="8.42578125" style="37" bestFit="1" customWidth="1"/>
    <col min="22" max="22" width="11.42578125" style="37" bestFit="1" customWidth="1"/>
    <col min="23" max="24" width="8.42578125" style="37" bestFit="1" customWidth="1"/>
    <col min="25" max="25" width="10" style="37" bestFit="1" customWidth="1"/>
    <col min="26" max="26" width="10" style="16" bestFit="1" customWidth="1"/>
    <col min="27" max="28" width="11.28515625" style="16" bestFit="1" customWidth="1"/>
    <col min="29" max="31" width="9.5703125" style="15" bestFit="1" customWidth="1"/>
    <col min="32" max="32" width="10.85546875" style="15" bestFit="1" customWidth="1"/>
    <col min="33" max="16384" width="9.140625" style="15"/>
  </cols>
  <sheetData>
    <row r="1" spans="1:28" s="2" customFormat="1" ht="13.5" customHeight="1" x14ac:dyDescent="0.2">
      <c r="A1" s="1"/>
      <c r="J1" s="3"/>
      <c r="K1" s="5"/>
      <c r="L1" s="4"/>
      <c r="M1" s="4"/>
      <c r="N1" s="42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6"/>
      <c r="AA1" s="6"/>
      <c r="AB1" s="6"/>
    </row>
    <row r="2" spans="1:28" s="2" customFormat="1" ht="13.5" customHeight="1" x14ac:dyDescent="0.2">
      <c r="A2" s="1"/>
      <c r="J2" s="3"/>
      <c r="K2" s="5"/>
      <c r="L2" s="4"/>
      <c r="M2" s="4"/>
      <c r="N2" s="42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6"/>
      <c r="AA2" s="6"/>
      <c r="AB2" s="6"/>
    </row>
    <row r="3" spans="1:28" s="2" customFormat="1" ht="15.75" x14ac:dyDescent="0.2">
      <c r="A3" s="1"/>
      <c r="C3" s="64"/>
      <c r="D3" s="64"/>
      <c r="E3" s="62" t="s">
        <v>72</v>
      </c>
      <c r="F3" s="64"/>
      <c r="G3" s="64"/>
      <c r="H3" s="64"/>
      <c r="J3" s="3"/>
      <c r="K3" s="5"/>
      <c r="L3" s="4"/>
      <c r="M3" s="4"/>
      <c r="N3" s="42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6"/>
      <c r="AA3" s="6"/>
      <c r="AB3" s="6"/>
    </row>
    <row r="4" spans="1:28" s="2" customFormat="1" ht="8.25" customHeight="1" x14ac:dyDescent="0.25">
      <c r="A4" s="1"/>
      <c r="C4" s="64"/>
      <c r="D4" s="64"/>
      <c r="E4" s="65"/>
      <c r="F4" s="64"/>
      <c r="G4" s="64"/>
      <c r="H4" s="7"/>
      <c r="J4" s="3"/>
      <c r="K4" s="5"/>
      <c r="L4" s="4"/>
      <c r="M4" s="4"/>
      <c r="N4" s="42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6"/>
      <c r="AA4" s="6"/>
      <c r="AB4" s="6"/>
    </row>
    <row r="5" spans="1:28" s="2" customFormat="1" ht="15.75" x14ac:dyDescent="0.2">
      <c r="A5" s="1"/>
      <c r="C5" s="64"/>
      <c r="D5" s="64"/>
      <c r="E5" s="62" t="s">
        <v>73</v>
      </c>
      <c r="F5" s="64"/>
      <c r="G5" s="64"/>
      <c r="H5" s="64"/>
      <c r="J5" s="3"/>
      <c r="K5" s="5"/>
      <c r="L5" s="4"/>
      <c r="M5" s="4"/>
      <c r="N5" s="42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6"/>
      <c r="AA5" s="6"/>
      <c r="AB5" s="6"/>
    </row>
    <row r="6" spans="1:28" s="2" customFormat="1" ht="15.75" x14ac:dyDescent="0.2">
      <c r="A6" s="1"/>
      <c r="C6" s="64"/>
      <c r="D6" s="64"/>
      <c r="E6" s="62" t="s">
        <v>462</v>
      </c>
      <c r="F6" s="64"/>
      <c r="G6" s="64"/>
      <c r="H6" s="64"/>
      <c r="J6" s="3"/>
      <c r="K6" s="5"/>
      <c r="L6" s="4"/>
      <c r="M6" s="4"/>
      <c r="N6" s="42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6"/>
      <c r="AA6" s="6"/>
      <c r="AB6" s="6"/>
    </row>
    <row r="7" spans="1:28" s="2" customFormat="1" ht="8.25" customHeight="1" x14ac:dyDescent="0.2">
      <c r="A7" s="1"/>
      <c r="B7" s="8"/>
      <c r="C7" s="8"/>
      <c r="D7" s="8"/>
      <c r="E7" s="8"/>
      <c r="F7" s="8"/>
      <c r="G7" s="8"/>
      <c r="J7" s="3"/>
      <c r="K7" s="5"/>
      <c r="L7" s="4"/>
      <c r="M7" s="4"/>
      <c r="N7" s="42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6"/>
      <c r="AA7" s="6"/>
      <c r="AB7" s="6"/>
    </row>
    <row r="8" spans="1:28" s="2" customFormat="1" ht="10.5" customHeight="1" x14ac:dyDescent="0.2">
      <c r="A8" s="1"/>
      <c r="B8" s="9"/>
      <c r="C8" s="9"/>
      <c r="D8" s="9"/>
      <c r="E8" s="9"/>
      <c r="F8" s="9"/>
      <c r="G8" s="9"/>
      <c r="J8" s="3"/>
      <c r="K8" s="5"/>
      <c r="L8" s="4"/>
      <c r="M8" s="4"/>
      <c r="N8" s="42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6"/>
      <c r="AA8" s="6"/>
      <c r="AB8" s="6"/>
    </row>
    <row r="9" spans="1:28" s="2" customFormat="1" x14ac:dyDescent="0.2">
      <c r="A9" s="10"/>
      <c r="B9" s="10"/>
      <c r="C9" s="10"/>
      <c r="D9" s="10"/>
      <c r="E9" s="10"/>
      <c r="F9" s="10"/>
      <c r="G9" s="10"/>
      <c r="J9" s="3"/>
      <c r="K9" s="5"/>
      <c r="L9" s="4"/>
      <c r="M9" s="4"/>
      <c r="N9" s="42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6"/>
      <c r="AA9" s="6"/>
      <c r="AB9" s="6"/>
    </row>
    <row r="10" spans="1:28" x14ac:dyDescent="0.2">
      <c r="A10" s="11"/>
      <c r="B10" s="12">
        <v>43282</v>
      </c>
      <c r="C10" s="13"/>
      <c r="D10" s="14" t="s">
        <v>0</v>
      </c>
      <c r="E10" s="13"/>
      <c r="F10" s="14" t="s">
        <v>1</v>
      </c>
      <c r="G10" s="13"/>
      <c r="H10" s="12">
        <v>43646</v>
      </c>
    </row>
    <row r="11" spans="1:28" x14ac:dyDescent="0.2">
      <c r="A11" s="11"/>
      <c r="B11" s="17"/>
      <c r="C11" s="11"/>
      <c r="D11" s="17"/>
      <c r="E11" s="11"/>
      <c r="F11" s="17"/>
      <c r="G11" s="11"/>
      <c r="H11" s="17"/>
    </row>
    <row r="12" spans="1:28" x14ac:dyDescent="0.2">
      <c r="A12" s="11" t="s">
        <v>5</v>
      </c>
      <c r="B12" s="11"/>
      <c r="C12" s="11"/>
      <c r="D12" s="11"/>
      <c r="E12" s="11"/>
      <c r="F12" s="11"/>
      <c r="G12" s="11"/>
      <c r="H12" s="11"/>
    </row>
    <row r="13" spans="1:28" x14ac:dyDescent="0.2">
      <c r="A13" s="11" t="s">
        <v>6</v>
      </c>
      <c r="B13" s="11"/>
      <c r="C13" s="11"/>
      <c r="D13" s="11"/>
      <c r="E13" s="11"/>
      <c r="F13" s="11"/>
      <c r="G13" s="11"/>
      <c r="H13" s="11"/>
    </row>
    <row r="14" spans="1:28" x14ac:dyDescent="0.2">
      <c r="A14" s="11" t="s">
        <v>108</v>
      </c>
      <c r="B14" s="18">
        <v>0</v>
      </c>
      <c r="C14" s="61"/>
      <c r="D14" s="18">
        <v>1015</v>
      </c>
      <c r="E14" s="61"/>
      <c r="F14" s="18">
        <v>1015</v>
      </c>
      <c r="G14" s="61"/>
      <c r="H14" s="18">
        <f>B14+D14-F14</f>
        <v>0</v>
      </c>
    </row>
    <row r="15" spans="1:28" x14ac:dyDescent="0.2">
      <c r="A15" s="11" t="s">
        <v>503</v>
      </c>
      <c r="B15" s="11">
        <v>0</v>
      </c>
      <c r="C15" s="11"/>
      <c r="D15" s="11">
        <v>124346</v>
      </c>
      <c r="E15" s="11"/>
      <c r="F15" s="11">
        <v>124346</v>
      </c>
      <c r="G15" s="11"/>
      <c r="H15" s="11">
        <f>B15+D15-F15</f>
        <v>0</v>
      </c>
    </row>
    <row r="16" spans="1:28" x14ac:dyDescent="0.2">
      <c r="A16" s="11" t="s">
        <v>140</v>
      </c>
      <c r="B16" s="11">
        <v>0</v>
      </c>
      <c r="C16" s="11"/>
      <c r="D16" s="11">
        <v>101102</v>
      </c>
      <c r="E16" s="11"/>
      <c r="F16" s="11">
        <v>101102</v>
      </c>
      <c r="G16" s="11"/>
      <c r="H16" s="11">
        <f>B16+D16-F16</f>
        <v>0</v>
      </c>
    </row>
    <row r="17" spans="1:12" x14ac:dyDescent="0.2">
      <c r="A17" s="11" t="s">
        <v>143</v>
      </c>
      <c r="B17" s="19">
        <v>0</v>
      </c>
      <c r="C17" s="11"/>
      <c r="D17" s="19">
        <f>SUM(D13:D16)</f>
        <v>226463</v>
      </c>
      <c r="E17" s="11"/>
      <c r="F17" s="19">
        <f>SUM(F13:F16)</f>
        <v>226463</v>
      </c>
      <c r="G17" s="11"/>
      <c r="H17" s="19">
        <f>SUM(H13:H16)</f>
        <v>0</v>
      </c>
    </row>
    <row r="18" spans="1:12" x14ac:dyDescent="0.2">
      <c r="A18" s="11"/>
      <c r="B18" s="11"/>
      <c r="C18" s="11"/>
      <c r="D18" s="11"/>
      <c r="E18" s="11"/>
      <c r="F18" s="11"/>
      <c r="G18" s="11"/>
      <c r="H18" s="11"/>
    </row>
    <row r="19" spans="1:12" x14ac:dyDescent="0.2">
      <c r="A19" s="11" t="s">
        <v>7</v>
      </c>
      <c r="B19" s="11"/>
      <c r="C19" s="11"/>
      <c r="D19" s="11"/>
      <c r="E19" s="11"/>
      <c r="F19" s="11"/>
      <c r="G19" s="11"/>
      <c r="H19" s="11"/>
    </row>
    <row r="20" spans="1:12" x14ac:dyDescent="0.2">
      <c r="A20" s="11" t="s">
        <v>81</v>
      </c>
      <c r="B20" s="13"/>
      <c r="C20" s="13"/>
      <c r="D20" s="13"/>
      <c r="E20" s="13"/>
      <c r="F20" s="13"/>
      <c r="G20" s="13"/>
      <c r="H20" s="11"/>
      <c r="K20" s="5">
        <f t="shared" ref="K20:K28" si="0">J20-H20</f>
        <v>0</v>
      </c>
    </row>
    <row r="21" spans="1:12" x14ac:dyDescent="0.2">
      <c r="A21" s="11" t="s">
        <v>88</v>
      </c>
      <c r="B21" s="13">
        <v>16</v>
      </c>
      <c r="C21" s="13"/>
      <c r="D21" s="13">
        <v>0</v>
      </c>
      <c r="E21" s="13"/>
      <c r="F21" s="13">
        <v>0</v>
      </c>
      <c r="G21" s="13"/>
      <c r="H21" s="11">
        <f t="shared" ref="H21:H28" si="1">+B21+D21-F21</f>
        <v>16</v>
      </c>
      <c r="J21" s="3">
        <v>15.58</v>
      </c>
      <c r="K21" s="5">
        <f t="shared" si="0"/>
        <v>-0.41999999999999993</v>
      </c>
      <c r="L21" s="4" t="s">
        <v>238</v>
      </c>
    </row>
    <row r="22" spans="1:12" x14ac:dyDescent="0.2">
      <c r="A22" s="11" t="s">
        <v>80</v>
      </c>
      <c r="B22" s="13">
        <v>14</v>
      </c>
      <c r="C22" s="13"/>
      <c r="D22" s="13">
        <v>0</v>
      </c>
      <c r="E22" s="13"/>
      <c r="F22" s="13">
        <v>0</v>
      </c>
      <c r="G22" s="13"/>
      <c r="H22" s="11">
        <f t="shared" si="1"/>
        <v>14</v>
      </c>
      <c r="J22" s="3">
        <v>14.1</v>
      </c>
      <c r="K22" s="5">
        <f t="shared" si="0"/>
        <v>9.9999999999999645E-2</v>
      </c>
      <c r="L22" s="4" t="s">
        <v>235</v>
      </c>
    </row>
    <row r="23" spans="1:12" x14ac:dyDescent="0.2">
      <c r="A23" s="11" t="s">
        <v>98</v>
      </c>
      <c r="B23" s="13">
        <v>3739</v>
      </c>
      <c r="C23" s="13"/>
      <c r="D23" s="13">
        <v>77</v>
      </c>
      <c r="E23" s="13"/>
      <c r="F23" s="13">
        <v>0</v>
      </c>
      <c r="G23" s="13"/>
      <c r="H23" s="11">
        <f t="shared" si="1"/>
        <v>3816</v>
      </c>
      <c r="J23" s="3">
        <v>3816.13</v>
      </c>
      <c r="K23" s="5">
        <f t="shared" si="0"/>
        <v>0.13000000000010914</v>
      </c>
      <c r="L23" s="4" t="s">
        <v>234</v>
      </c>
    </row>
    <row r="24" spans="1:12" x14ac:dyDescent="0.2">
      <c r="A24" s="11" t="s">
        <v>109</v>
      </c>
      <c r="B24" s="13">
        <v>31</v>
      </c>
      <c r="C24" s="13"/>
      <c r="D24" s="13">
        <v>1</v>
      </c>
      <c r="E24" s="13"/>
      <c r="F24" s="13">
        <v>0</v>
      </c>
      <c r="G24" s="13"/>
      <c r="H24" s="11">
        <f t="shared" si="1"/>
        <v>32</v>
      </c>
      <c r="J24" s="3">
        <v>31.8</v>
      </c>
      <c r="K24" s="5">
        <f t="shared" si="0"/>
        <v>-0.19999999999999929</v>
      </c>
      <c r="L24" s="4" t="s">
        <v>239</v>
      </c>
    </row>
    <row r="25" spans="1:12" x14ac:dyDescent="0.2">
      <c r="A25" s="11" t="s">
        <v>89</v>
      </c>
      <c r="B25" s="13">
        <v>464</v>
      </c>
      <c r="C25" s="13"/>
      <c r="D25" s="13">
        <v>9</v>
      </c>
      <c r="E25" s="13"/>
      <c r="F25" s="13">
        <v>0</v>
      </c>
      <c r="G25" s="13"/>
      <c r="H25" s="11">
        <f t="shared" si="1"/>
        <v>473</v>
      </c>
      <c r="J25" s="3">
        <v>473.43</v>
      </c>
      <c r="K25" s="5">
        <f t="shared" si="0"/>
        <v>0.43000000000000682</v>
      </c>
      <c r="L25" s="4" t="s">
        <v>237</v>
      </c>
    </row>
    <row r="26" spans="1:12" x14ac:dyDescent="0.2">
      <c r="A26" s="11" t="s">
        <v>79</v>
      </c>
      <c r="B26" s="13">
        <v>147666</v>
      </c>
      <c r="C26" s="13"/>
      <c r="D26" s="13">
        <v>3049</v>
      </c>
      <c r="E26" s="13"/>
      <c r="F26" s="13">
        <v>0</v>
      </c>
      <c r="G26" s="13"/>
      <c r="H26" s="11">
        <f t="shared" si="1"/>
        <v>150715</v>
      </c>
      <c r="J26" s="3">
        <v>150714.67000000001</v>
      </c>
      <c r="K26" s="5">
        <f t="shared" si="0"/>
        <v>-0.32999999998719431</v>
      </c>
      <c r="L26" s="4" t="s">
        <v>240</v>
      </c>
    </row>
    <row r="27" spans="1:12" x14ac:dyDescent="0.2">
      <c r="A27" s="11" t="s">
        <v>36</v>
      </c>
      <c r="B27" s="13">
        <v>17</v>
      </c>
      <c r="C27" s="13"/>
      <c r="D27" s="13">
        <v>0</v>
      </c>
      <c r="E27" s="13"/>
      <c r="F27" s="13">
        <v>0</v>
      </c>
      <c r="G27" s="13"/>
      <c r="H27" s="11">
        <f t="shared" si="1"/>
        <v>17</v>
      </c>
      <c r="J27" s="3">
        <v>17.309999999999999</v>
      </c>
      <c r="K27" s="5">
        <f t="shared" si="0"/>
        <v>0.30999999999999872</v>
      </c>
      <c r="L27" s="4" t="s">
        <v>236</v>
      </c>
    </row>
    <row r="28" spans="1:12" x14ac:dyDescent="0.2">
      <c r="A28" s="11" t="s">
        <v>40</v>
      </c>
      <c r="B28" s="19">
        <f>SUM(B20:B27)</f>
        <v>151947</v>
      </c>
      <c r="C28" s="13"/>
      <c r="D28" s="19">
        <f>SUM(D20:D27)</f>
        <v>3136</v>
      </c>
      <c r="E28" s="13"/>
      <c r="F28" s="19">
        <f>SUM(F20:F27)</f>
        <v>0</v>
      </c>
      <c r="G28" s="13"/>
      <c r="H28" s="19">
        <f t="shared" si="1"/>
        <v>155083</v>
      </c>
      <c r="J28" s="58">
        <f>SUM(J20:J27)</f>
        <v>155083.02000000002</v>
      </c>
      <c r="K28" s="5">
        <f t="shared" si="0"/>
        <v>2.0000000018626451E-2</v>
      </c>
    </row>
    <row r="29" spans="1:12" x14ac:dyDescent="0.2">
      <c r="A29" s="11"/>
      <c r="B29" s="11"/>
      <c r="C29" s="13"/>
      <c r="D29" s="11"/>
      <c r="E29" s="13"/>
      <c r="F29" s="11"/>
      <c r="G29" s="13"/>
      <c r="H29" s="11"/>
    </row>
    <row r="30" spans="1:12" x14ac:dyDescent="0.2">
      <c r="A30" s="11" t="s">
        <v>8</v>
      </c>
      <c r="B30" s="11"/>
      <c r="C30" s="11"/>
      <c r="D30" s="11"/>
      <c r="E30" s="11"/>
      <c r="F30" s="11"/>
      <c r="G30" s="13"/>
      <c r="H30" s="11"/>
    </row>
    <row r="31" spans="1:12" x14ac:dyDescent="0.2">
      <c r="A31" s="11" t="s">
        <v>9</v>
      </c>
      <c r="B31" s="11"/>
      <c r="C31" s="11"/>
      <c r="D31" s="11"/>
      <c r="E31" s="11"/>
      <c r="F31" s="11"/>
      <c r="G31" s="11"/>
      <c r="H31" s="11"/>
    </row>
    <row r="32" spans="1:12" x14ac:dyDescent="0.2">
      <c r="A32" s="11" t="s">
        <v>10</v>
      </c>
      <c r="B32" s="11">
        <v>32334</v>
      </c>
      <c r="C32" s="11"/>
      <c r="D32" s="11">
        <v>0</v>
      </c>
      <c r="E32" s="11"/>
      <c r="F32" s="11">
        <v>0</v>
      </c>
      <c r="G32" s="11"/>
      <c r="H32" s="11">
        <f t="shared" ref="H32:H57" si="2">+B32+D32-F32</f>
        <v>32334</v>
      </c>
      <c r="J32" s="3">
        <v>32333.88</v>
      </c>
      <c r="K32" s="5">
        <f>J32-H32</f>
        <v>-0.11999999999898137</v>
      </c>
      <c r="L32" s="4" t="s">
        <v>276</v>
      </c>
    </row>
    <row r="33" spans="1:25" x14ac:dyDescent="0.2">
      <c r="A33" s="11" t="s">
        <v>496</v>
      </c>
      <c r="B33" s="11">
        <v>0</v>
      </c>
      <c r="C33" s="11"/>
      <c r="D33" s="11">
        <v>24483</v>
      </c>
      <c r="E33" s="11"/>
      <c r="F33" s="11">
        <v>24483</v>
      </c>
      <c r="G33" s="11"/>
      <c r="H33" s="11">
        <f t="shared" si="2"/>
        <v>0</v>
      </c>
      <c r="J33" s="3">
        <v>0</v>
      </c>
      <c r="L33" s="4">
        <v>681</v>
      </c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</row>
    <row r="34" spans="1:25" x14ac:dyDescent="0.2">
      <c r="A34" s="11" t="s">
        <v>177</v>
      </c>
      <c r="B34" s="11">
        <v>3479069</v>
      </c>
      <c r="C34" s="11"/>
      <c r="D34" s="11">
        <v>2007670</v>
      </c>
      <c r="E34" s="11"/>
      <c r="F34" s="11">
        <v>0</v>
      </c>
      <c r="G34" s="11"/>
      <c r="H34" s="11">
        <f t="shared" si="2"/>
        <v>5486739</v>
      </c>
      <c r="J34" s="3">
        <v>5486738.9199999999</v>
      </c>
      <c r="K34" s="5">
        <f t="shared" ref="K34:K57" si="3">J34-H34</f>
        <v>-8.0000000074505806E-2</v>
      </c>
      <c r="L34" s="4" t="s">
        <v>277</v>
      </c>
    </row>
    <row r="35" spans="1:25" x14ac:dyDescent="0.2">
      <c r="A35" s="11" t="s">
        <v>44</v>
      </c>
      <c r="B35" s="11"/>
      <c r="C35" s="11"/>
      <c r="D35" s="11"/>
      <c r="E35" s="11"/>
      <c r="F35" s="11"/>
      <c r="G35" s="11"/>
      <c r="H35" s="11"/>
      <c r="K35" s="5">
        <f t="shared" si="3"/>
        <v>0</v>
      </c>
    </row>
    <row r="36" spans="1:25" x14ac:dyDescent="0.2">
      <c r="A36" s="11" t="s">
        <v>111</v>
      </c>
      <c r="B36" s="11">
        <v>12794</v>
      </c>
      <c r="C36" s="11"/>
      <c r="D36" s="11">
        <v>13443</v>
      </c>
      <c r="E36" s="11"/>
      <c r="F36" s="11">
        <v>12794</v>
      </c>
      <c r="G36" s="11"/>
      <c r="H36" s="11">
        <f t="shared" si="2"/>
        <v>13443</v>
      </c>
      <c r="J36" s="3">
        <v>13443</v>
      </c>
      <c r="K36" s="5">
        <f t="shared" si="3"/>
        <v>0</v>
      </c>
      <c r="L36" s="21" t="s">
        <v>203</v>
      </c>
    </row>
    <row r="37" spans="1:25" x14ac:dyDescent="0.2">
      <c r="A37" s="11" t="s">
        <v>476</v>
      </c>
      <c r="B37" s="11">
        <v>0</v>
      </c>
      <c r="C37" s="17"/>
      <c r="D37" s="11">
        <v>67701</v>
      </c>
      <c r="E37" s="11"/>
      <c r="F37" s="11">
        <v>0</v>
      </c>
      <c r="G37" s="11"/>
      <c r="H37" s="11">
        <f>+B37+D37-F37</f>
        <v>67701</v>
      </c>
      <c r="J37" s="3">
        <v>67701.350000000006</v>
      </c>
      <c r="K37" s="5">
        <f>J37-H37</f>
        <v>0.35000000000582077</v>
      </c>
      <c r="L37" s="21" t="s">
        <v>196</v>
      </c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</row>
    <row r="38" spans="1:25" x14ac:dyDescent="0.2">
      <c r="A38" s="11" t="s">
        <v>197</v>
      </c>
      <c r="B38" s="11">
        <v>36414</v>
      </c>
      <c r="C38" s="17"/>
      <c r="D38" s="11">
        <v>-9844</v>
      </c>
      <c r="E38" s="11"/>
      <c r="F38" s="11">
        <v>0</v>
      </c>
      <c r="G38" s="11"/>
      <c r="H38" s="11">
        <f>+B38+D38-F38</f>
        <v>26570</v>
      </c>
      <c r="J38" s="3">
        <v>26569.61</v>
      </c>
      <c r="K38" s="5">
        <f t="shared" si="3"/>
        <v>-0.38999999999941792</v>
      </c>
      <c r="L38" s="21" t="s">
        <v>196</v>
      </c>
    </row>
    <row r="39" spans="1:25" x14ac:dyDescent="0.2">
      <c r="A39" s="11" t="s">
        <v>155</v>
      </c>
      <c r="B39" s="11">
        <v>1073741</v>
      </c>
      <c r="C39" s="11"/>
      <c r="D39" s="11">
        <v>200000</v>
      </c>
      <c r="E39" s="11"/>
      <c r="F39" s="11">
        <v>1231735</v>
      </c>
      <c r="G39" s="11"/>
      <c r="H39" s="11">
        <f t="shared" si="2"/>
        <v>42006</v>
      </c>
      <c r="J39" s="3">
        <v>42005.51</v>
      </c>
      <c r="K39" s="5">
        <f t="shared" si="3"/>
        <v>-0.48999999999796273</v>
      </c>
      <c r="L39" s="4" t="s">
        <v>275</v>
      </c>
    </row>
    <row r="40" spans="1:25" x14ac:dyDescent="0.2">
      <c r="A40" s="11" t="s">
        <v>67</v>
      </c>
      <c r="B40" s="11">
        <v>27285</v>
      </c>
      <c r="C40" s="11"/>
      <c r="D40" s="11">
        <v>3105</v>
      </c>
      <c r="E40" s="11"/>
      <c r="F40" s="11">
        <v>19755</v>
      </c>
      <c r="G40" s="11"/>
      <c r="H40" s="11">
        <f t="shared" si="2"/>
        <v>10635</v>
      </c>
      <c r="J40" s="3">
        <v>10635.36</v>
      </c>
      <c r="K40" s="5">
        <f t="shared" si="3"/>
        <v>0.36000000000058208</v>
      </c>
      <c r="L40" s="21" t="s">
        <v>199</v>
      </c>
    </row>
    <row r="41" spans="1:25" x14ac:dyDescent="0.2">
      <c r="A41" s="11" t="s">
        <v>144</v>
      </c>
      <c r="B41" s="11">
        <v>400000</v>
      </c>
      <c r="C41" s="11"/>
      <c r="D41" s="11">
        <v>100000</v>
      </c>
      <c r="E41" s="11"/>
      <c r="F41" s="11">
        <v>400000</v>
      </c>
      <c r="G41" s="11"/>
      <c r="H41" s="11">
        <f t="shared" si="2"/>
        <v>100000</v>
      </c>
      <c r="J41" s="3">
        <v>100000</v>
      </c>
      <c r="K41" s="5">
        <f t="shared" si="3"/>
        <v>0</v>
      </c>
      <c r="L41" s="4" t="s">
        <v>222</v>
      </c>
    </row>
    <row r="42" spans="1:25" x14ac:dyDescent="0.2">
      <c r="A42" s="11" t="s">
        <v>48</v>
      </c>
      <c r="B42" s="11">
        <v>12202</v>
      </c>
      <c r="C42" s="11"/>
      <c r="D42" s="11">
        <v>0</v>
      </c>
      <c r="E42" s="11"/>
      <c r="F42" s="11">
        <v>0</v>
      </c>
      <c r="G42" s="11"/>
      <c r="H42" s="11">
        <f t="shared" si="2"/>
        <v>12202</v>
      </c>
      <c r="J42" s="3">
        <v>12202</v>
      </c>
      <c r="K42" s="5">
        <f t="shared" si="3"/>
        <v>0</v>
      </c>
      <c r="L42" s="21" t="s">
        <v>191</v>
      </c>
    </row>
    <row r="43" spans="1:25" x14ac:dyDescent="0.2">
      <c r="A43" s="11" t="s">
        <v>49</v>
      </c>
      <c r="B43" s="11">
        <v>1771</v>
      </c>
      <c r="C43" s="11"/>
      <c r="D43" s="11">
        <v>0</v>
      </c>
      <c r="E43" s="11"/>
      <c r="F43" s="11">
        <v>0</v>
      </c>
      <c r="G43" s="11"/>
      <c r="H43" s="11">
        <f t="shared" si="2"/>
        <v>1771</v>
      </c>
      <c r="J43" s="3">
        <v>1770.71</v>
      </c>
      <c r="K43" s="5">
        <f t="shared" si="3"/>
        <v>-0.28999999999996362</v>
      </c>
      <c r="L43" s="21" t="s">
        <v>187</v>
      </c>
    </row>
    <row r="44" spans="1:25" x14ac:dyDescent="0.2">
      <c r="A44" s="11" t="s">
        <v>59</v>
      </c>
      <c r="B44" s="11">
        <v>25454</v>
      </c>
      <c r="C44" s="11"/>
      <c r="D44" s="11">
        <v>0</v>
      </c>
      <c r="E44" s="11"/>
      <c r="F44" s="11">
        <v>8705</v>
      </c>
      <c r="G44" s="11"/>
      <c r="H44" s="11">
        <f t="shared" si="2"/>
        <v>16749</v>
      </c>
      <c r="J44" s="3">
        <v>16749.02</v>
      </c>
      <c r="K44" s="5">
        <f t="shared" si="3"/>
        <v>2.0000000000436557E-2</v>
      </c>
      <c r="L44" s="21" t="s">
        <v>198</v>
      </c>
    </row>
    <row r="45" spans="1:25" x14ac:dyDescent="0.2">
      <c r="A45" s="11" t="s">
        <v>60</v>
      </c>
      <c r="B45" s="11">
        <v>41410</v>
      </c>
      <c r="C45" s="11"/>
      <c r="D45" s="11">
        <v>0</v>
      </c>
      <c r="E45" s="11"/>
      <c r="F45" s="11">
        <v>852</v>
      </c>
      <c r="G45" s="11"/>
      <c r="H45" s="11">
        <f t="shared" si="2"/>
        <v>40558</v>
      </c>
      <c r="J45" s="3">
        <v>40557.68</v>
      </c>
      <c r="K45" s="5">
        <f t="shared" si="3"/>
        <v>-0.31999999999970896</v>
      </c>
      <c r="L45" s="21" t="s">
        <v>188</v>
      </c>
    </row>
    <row r="46" spans="1:25" x14ac:dyDescent="0.2">
      <c r="A46" s="11" t="s">
        <v>50</v>
      </c>
      <c r="B46" s="11">
        <v>72515</v>
      </c>
      <c r="C46" s="11"/>
      <c r="D46" s="11">
        <v>8931</v>
      </c>
      <c r="E46" s="11"/>
      <c r="F46" s="11">
        <v>0</v>
      </c>
      <c r="G46" s="11"/>
      <c r="H46" s="11">
        <f t="shared" si="2"/>
        <v>81446</v>
      </c>
      <c r="J46" s="3">
        <v>81446.67</v>
      </c>
      <c r="K46" s="5">
        <f t="shared" si="3"/>
        <v>0.66999999999825377</v>
      </c>
      <c r="L46" s="21" t="s">
        <v>202</v>
      </c>
    </row>
    <row r="47" spans="1:25" x14ac:dyDescent="0.2">
      <c r="A47" s="11" t="s">
        <v>117</v>
      </c>
      <c r="B47" s="11">
        <v>312638</v>
      </c>
      <c r="C47" s="11"/>
      <c r="D47" s="11">
        <v>109177</v>
      </c>
      <c r="E47" s="11"/>
      <c r="F47" s="11">
        <v>188899</v>
      </c>
      <c r="G47" s="11"/>
      <c r="H47" s="11">
        <f t="shared" si="2"/>
        <v>232916</v>
      </c>
      <c r="J47" s="3">
        <v>232915.85</v>
      </c>
      <c r="K47" s="5">
        <f t="shared" si="3"/>
        <v>-0.14999999999417923</v>
      </c>
      <c r="L47" s="21" t="s">
        <v>195</v>
      </c>
    </row>
    <row r="48" spans="1:25" x14ac:dyDescent="0.2">
      <c r="A48" s="11" t="s">
        <v>51</v>
      </c>
      <c r="B48" s="13">
        <v>767668</v>
      </c>
      <c r="C48" s="13"/>
      <c r="D48" s="11">
        <v>200000</v>
      </c>
      <c r="E48" s="11"/>
      <c r="F48" s="11">
        <v>0</v>
      </c>
      <c r="G48" s="13"/>
      <c r="H48" s="13">
        <f t="shared" si="2"/>
        <v>967668</v>
      </c>
      <c r="J48" s="3">
        <v>967667.68</v>
      </c>
      <c r="K48" s="5">
        <f t="shared" si="3"/>
        <v>-0.31999999994877726</v>
      </c>
      <c r="L48" s="21" t="s">
        <v>221</v>
      </c>
    </row>
    <row r="49" spans="1:25" x14ac:dyDescent="0.2">
      <c r="A49" s="11" t="s">
        <v>52</v>
      </c>
      <c r="B49" s="13">
        <v>1841920</v>
      </c>
      <c r="C49" s="13"/>
      <c r="D49" s="11">
        <v>50000</v>
      </c>
      <c r="E49" s="11"/>
      <c r="F49" s="11">
        <v>0</v>
      </c>
      <c r="G49" s="13"/>
      <c r="H49" s="13">
        <f t="shared" si="2"/>
        <v>1891920</v>
      </c>
      <c r="J49" s="3">
        <v>1891920.19</v>
      </c>
      <c r="K49" s="5">
        <f t="shared" si="3"/>
        <v>0.18999999994412065</v>
      </c>
      <c r="L49" s="21" t="s">
        <v>220</v>
      </c>
    </row>
    <row r="50" spans="1:25" x14ac:dyDescent="0.2">
      <c r="A50" s="11" t="s">
        <v>53</v>
      </c>
      <c r="B50" s="11">
        <v>170240</v>
      </c>
      <c r="C50" s="11"/>
      <c r="D50" s="11">
        <v>48054</v>
      </c>
      <c r="E50" s="11"/>
      <c r="F50" s="11">
        <v>94365</v>
      </c>
      <c r="G50" s="11"/>
      <c r="H50" s="11">
        <f t="shared" si="2"/>
        <v>123929</v>
      </c>
      <c r="J50" s="3">
        <v>123929.67</v>
      </c>
      <c r="K50" s="5">
        <f t="shared" si="3"/>
        <v>0.66999999999825377</v>
      </c>
      <c r="L50" s="21" t="s">
        <v>201</v>
      </c>
      <c r="N50" s="45">
        <f>SUM(J36:J50)</f>
        <v>3629514.3</v>
      </c>
    </row>
    <row r="51" spans="1:25" x14ac:dyDescent="0.2">
      <c r="A51" s="11" t="s">
        <v>38</v>
      </c>
      <c r="B51" s="11">
        <v>726936</v>
      </c>
      <c r="C51" s="11"/>
      <c r="D51" s="11">
        <v>-32419</v>
      </c>
      <c r="E51" s="11"/>
      <c r="F51" s="11">
        <v>139833</v>
      </c>
      <c r="G51" s="11"/>
      <c r="H51" s="11">
        <f>+B51+D51-F51</f>
        <v>554684</v>
      </c>
      <c r="J51" s="51">
        <v>554684.53</v>
      </c>
      <c r="K51" s="5">
        <f t="shared" si="3"/>
        <v>0.53000000002793968</v>
      </c>
      <c r="L51" s="50" t="s">
        <v>278</v>
      </c>
    </row>
    <row r="52" spans="1:25" x14ac:dyDescent="0.2">
      <c r="A52" s="11" t="s">
        <v>173</v>
      </c>
      <c r="B52" s="11"/>
      <c r="C52" s="11"/>
      <c r="D52" s="11"/>
      <c r="E52" s="11"/>
      <c r="F52" s="11"/>
      <c r="G52" s="11"/>
      <c r="H52" s="11"/>
      <c r="K52" s="5">
        <f t="shared" si="3"/>
        <v>0</v>
      </c>
    </row>
    <row r="53" spans="1:25" x14ac:dyDescent="0.2">
      <c r="A53" s="11" t="s">
        <v>174</v>
      </c>
      <c r="B53" s="11">
        <v>70000</v>
      </c>
      <c r="C53" s="11"/>
      <c r="D53" s="11">
        <v>0</v>
      </c>
      <c r="E53" s="11"/>
      <c r="F53" s="11">
        <v>0</v>
      </c>
      <c r="G53" s="11"/>
      <c r="H53" s="11">
        <f t="shared" si="2"/>
        <v>70000</v>
      </c>
      <c r="J53" s="3">
        <v>70000</v>
      </c>
      <c r="K53" s="5">
        <f t="shared" si="3"/>
        <v>0</v>
      </c>
      <c r="L53" s="4" t="s">
        <v>280</v>
      </c>
    </row>
    <row r="54" spans="1:25" x14ac:dyDescent="0.2">
      <c r="A54" s="11" t="s">
        <v>175</v>
      </c>
      <c r="B54" s="11">
        <v>601148</v>
      </c>
      <c r="C54" s="11"/>
      <c r="D54" s="11">
        <v>0</v>
      </c>
      <c r="E54" s="11"/>
      <c r="F54" s="11">
        <v>0</v>
      </c>
      <c r="G54" s="11"/>
      <c r="H54" s="11">
        <f t="shared" si="2"/>
        <v>601148</v>
      </c>
      <c r="J54" s="3">
        <v>601148.1</v>
      </c>
      <c r="K54" s="5">
        <f t="shared" si="3"/>
        <v>9.9999999976716936E-2</v>
      </c>
      <c r="L54" s="4" t="s">
        <v>279</v>
      </c>
    </row>
    <row r="55" spans="1:25" x14ac:dyDescent="0.2">
      <c r="A55" s="11" t="s">
        <v>176</v>
      </c>
      <c r="B55" s="11">
        <v>8145</v>
      </c>
      <c r="C55" s="11"/>
      <c r="D55" s="11"/>
      <c r="E55" s="11"/>
      <c r="F55" s="11"/>
      <c r="G55" s="11"/>
      <c r="H55" s="11">
        <f t="shared" si="2"/>
        <v>8145</v>
      </c>
      <c r="J55" s="3">
        <v>8144.85</v>
      </c>
      <c r="K55" s="5">
        <f t="shared" si="3"/>
        <v>-0.1499999999996362</v>
      </c>
      <c r="L55" s="4" t="s">
        <v>355</v>
      </c>
    </row>
    <row r="56" spans="1:25" x14ac:dyDescent="0.2">
      <c r="A56" s="11" t="s">
        <v>106</v>
      </c>
      <c r="B56" s="11">
        <v>4963396</v>
      </c>
      <c r="C56" s="11"/>
      <c r="D56" s="11">
        <v>166672</v>
      </c>
      <c r="E56" s="11"/>
      <c r="F56" s="11">
        <v>0</v>
      </c>
      <c r="G56" s="11"/>
      <c r="H56" s="11">
        <f t="shared" si="2"/>
        <v>5130068</v>
      </c>
      <c r="J56" s="3">
        <v>5130067.7699999996</v>
      </c>
      <c r="K56" s="5">
        <f t="shared" si="3"/>
        <v>-0.23000000044703484</v>
      </c>
      <c r="L56" s="4" t="s">
        <v>356</v>
      </c>
    </row>
    <row r="57" spans="1:25" x14ac:dyDescent="0.2">
      <c r="A57" s="11" t="s">
        <v>107</v>
      </c>
      <c r="B57" s="11">
        <v>5599877</v>
      </c>
      <c r="C57" s="11"/>
      <c r="D57" s="11">
        <v>194343</v>
      </c>
      <c r="E57" s="11"/>
      <c r="F57" s="11">
        <v>0</v>
      </c>
      <c r="G57" s="11"/>
      <c r="H57" s="11">
        <f t="shared" si="2"/>
        <v>5794220</v>
      </c>
      <c r="J57" s="3">
        <v>5794219.6699999999</v>
      </c>
      <c r="K57" s="5">
        <f t="shared" si="3"/>
        <v>-0.33000000007450581</v>
      </c>
      <c r="L57" s="38" t="s">
        <v>357</v>
      </c>
    </row>
    <row r="58" spans="1:25" x14ac:dyDescent="0.2">
      <c r="A58" s="11" t="s">
        <v>45</v>
      </c>
      <c r="B58" s="22">
        <f>SUM(B32:B57)</f>
        <v>20276957</v>
      </c>
      <c r="C58" s="13"/>
      <c r="D58" s="22">
        <f>SUM(D32:D57)</f>
        <v>3151316</v>
      </c>
      <c r="E58" s="13"/>
      <c r="F58" s="22">
        <f>SUM(F32:F57)</f>
        <v>2121421</v>
      </c>
      <c r="G58" s="13"/>
      <c r="H58" s="22">
        <f>SUM(H32:H57)</f>
        <v>21306852</v>
      </c>
      <c r="J58" s="58">
        <f>SUM(J32:J57)</f>
        <v>21306852.019999996</v>
      </c>
      <c r="K58" s="5">
        <f>J58-H58</f>
        <v>1.9999995827674866E-2</v>
      </c>
    </row>
    <row r="59" spans="1:25" x14ac:dyDescent="0.2">
      <c r="A59" s="11" t="s">
        <v>11</v>
      </c>
      <c r="B59" s="11"/>
      <c r="C59" s="11"/>
      <c r="D59" s="11"/>
      <c r="E59" s="11"/>
      <c r="F59" s="11"/>
      <c r="G59" s="11"/>
      <c r="H59" s="11"/>
    </row>
    <row r="60" spans="1:25" x14ac:dyDescent="0.2">
      <c r="A60" s="11" t="s">
        <v>488</v>
      </c>
      <c r="B60" s="11">
        <v>0</v>
      </c>
      <c r="C60" s="11"/>
      <c r="D60" s="11">
        <v>2598489</v>
      </c>
      <c r="E60" s="11"/>
      <c r="F60" s="11">
        <v>1411274</v>
      </c>
      <c r="G60" s="11"/>
      <c r="H60" s="11">
        <f t="shared" ref="H60:H90" si="4">+B60+D60-F60</f>
        <v>1187215</v>
      </c>
      <c r="J60" s="3">
        <v>1187215.1499999999</v>
      </c>
      <c r="K60" s="5">
        <f t="shared" ref="K60:K128" si="5">J60-H60</f>
        <v>0.14999999990686774</v>
      </c>
      <c r="L60" s="57">
        <v>686</v>
      </c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</row>
    <row r="61" spans="1:25" x14ac:dyDescent="0.2">
      <c r="A61" s="11" t="s">
        <v>495</v>
      </c>
      <c r="B61" s="11">
        <v>0</v>
      </c>
      <c r="C61" s="11"/>
      <c r="D61" s="11">
        <f>89827+497185</f>
        <v>587012</v>
      </c>
      <c r="E61" s="11"/>
      <c r="F61" s="11">
        <f>89827+453625</f>
        <v>543452</v>
      </c>
      <c r="G61" s="11"/>
      <c r="H61" s="11">
        <f t="shared" si="4"/>
        <v>43560</v>
      </c>
      <c r="J61" s="3">
        <v>43559.94</v>
      </c>
      <c r="K61" s="5">
        <f t="shared" si="5"/>
        <v>-5.9999999997671694E-2</v>
      </c>
      <c r="L61" s="57">
        <v>684</v>
      </c>
      <c r="M61" s="4">
        <v>661</v>
      </c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</row>
    <row r="62" spans="1:25" x14ac:dyDescent="0.2">
      <c r="A62" s="11" t="s">
        <v>12</v>
      </c>
      <c r="B62" s="11"/>
      <c r="C62" s="11"/>
      <c r="D62" s="11"/>
      <c r="E62" s="11"/>
      <c r="F62" s="11"/>
      <c r="G62" s="11"/>
      <c r="H62" s="11"/>
    </row>
    <row r="63" spans="1:25" x14ac:dyDescent="0.2">
      <c r="A63" s="11" t="s">
        <v>160</v>
      </c>
      <c r="B63" s="11">
        <v>106663</v>
      </c>
      <c r="C63" s="11"/>
      <c r="D63" s="11">
        <v>0</v>
      </c>
      <c r="E63" s="11"/>
      <c r="F63" s="11">
        <v>18739</v>
      </c>
      <c r="G63" s="11"/>
      <c r="H63" s="11">
        <f t="shared" si="4"/>
        <v>87924</v>
      </c>
      <c r="J63" s="3">
        <v>87924.06</v>
      </c>
      <c r="K63" s="5">
        <f t="shared" si="5"/>
        <v>5.9999999997671694E-2</v>
      </c>
      <c r="L63" s="38" t="s">
        <v>359</v>
      </c>
    </row>
    <row r="64" spans="1:25" x14ac:dyDescent="0.2">
      <c r="A64" s="11" t="s">
        <v>14</v>
      </c>
      <c r="B64" s="11">
        <v>709871</v>
      </c>
      <c r="C64" s="11"/>
      <c r="D64" s="11">
        <v>0</v>
      </c>
      <c r="E64" s="11"/>
      <c r="F64" s="11">
        <v>0</v>
      </c>
      <c r="G64" s="11"/>
      <c r="H64" s="11">
        <f t="shared" si="4"/>
        <v>709871</v>
      </c>
      <c r="J64" s="3">
        <f>504890.45+204980.95</f>
        <v>709871.4</v>
      </c>
      <c r="K64" s="5">
        <f t="shared" si="5"/>
        <v>0.40000000002328306</v>
      </c>
      <c r="L64" s="38" t="s">
        <v>360</v>
      </c>
      <c r="M64" s="38" t="s">
        <v>361</v>
      </c>
    </row>
    <row r="65" spans="1:14" x14ac:dyDescent="0.2">
      <c r="A65" s="11" t="s">
        <v>15</v>
      </c>
      <c r="B65" s="11">
        <v>168408</v>
      </c>
      <c r="C65" s="11"/>
      <c r="D65" s="11">
        <v>0</v>
      </c>
      <c r="E65" s="11"/>
      <c r="F65" s="11">
        <v>245</v>
      </c>
      <c r="G65" s="11"/>
      <c r="H65" s="11">
        <f t="shared" si="4"/>
        <v>168163</v>
      </c>
      <c r="J65" s="3">
        <v>168163.49</v>
      </c>
      <c r="K65" s="5">
        <f t="shared" si="5"/>
        <v>0.48999999999068677</v>
      </c>
      <c r="L65" s="38" t="s">
        <v>362</v>
      </c>
    </row>
    <row r="66" spans="1:14" x14ac:dyDescent="0.2">
      <c r="A66" s="11" t="s">
        <v>161</v>
      </c>
      <c r="B66" s="11">
        <v>259840</v>
      </c>
      <c r="C66" s="11"/>
      <c r="D66" s="11">
        <v>0</v>
      </c>
      <c r="E66" s="11"/>
      <c r="F66" s="11">
        <v>2168</v>
      </c>
      <c r="G66" s="11"/>
      <c r="H66" s="11">
        <f t="shared" si="4"/>
        <v>257672</v>
      </c>
      <c r="J66" s="3">
        <v>257672.28</v>
      </c>
      <c r="K66" s="5">
        <f t="shared" si="5"/>
        <v>0.27999999999883585</v>
      </c>
      <c r="L66" s="38" t="s">
        <v>363</v>
      </c>
    </row>
    <row r="67" spans="1:14" x14ac:dyDescent="0.2">
      <c r="A67" s="11" t="s">
        <v>82</v>
      </c>
      <c r="B67" s="11">
        <v>11900332</v>
      </c>
      <c r="C67" s="11"/>
      <c r="D67" s="11">
        <f>-533776+4887326-5051624</f>
        <v>-698074</v>
      </c>
      <c r="E67" s="11"/>
      <c r="F67" s="11">
        <v>2763528</v>
      </c>
      <c r="G67" s="11"/>
      <c r="H67" s="11">
        <f t="shared" si="4"/>
        <v>8438730</v>
      </c>
      <c r="J67" s="3">
        <f>2084993.16+6248736.77+105000</f>
        <v>8438729.9299999997</v>
      </c>
      <c r="K67" s="5">
        <f t="shared" si="5"/>
        <v>-7.0000000298023224E-2</v>
      </c>
      <c r="L67" s="38" t="s">
        <v>364</v>
      </c>
      <c r="M67" s="38" t="s">
        <v>365</v>
      </c>
      <c r="N67" s="46" t="s">
        <v>373</v>
      </c>
    </row>
    <row r="68" spans="1:14" x14ac:dyDescent="0.2">
      <c r="A68" s="11" t="s">
        <v>16</v>
      </c>
      <c r="B68" s="11">
        <v>314747</v>
      </c>
      <c r="C68" s="11"/>
      <c r="D68" s="11">
        <f>12224-1</f>
        <v>12223</v>
      </c>
      <c r="E68" s="11"/>
      <c r="F68" s="11">
        <v>14000</v>
      </c>
      <c r="G68" s="11"/>
      <c r="H68" s="11">
        <f t="shared" si="4"/>
        <v>312970</v>
      </c>
      <c r="J68" s="3">
        <v>312970.52</v>
      </c>
      <c r="K68" s="5">
        <f t="shared" si="5"/>
        <v>0.52000000001862645</v>
      </c>
      <c r="L68" s="38" t="s">
        <v>366</v>
      </c>
    </row>
    <row r="69" spans="1:14" x14ac:dyDescent="0.2">
      <c r="A69" s="11" t="s">
        <v>112</v>
      </c>
      <c r="B69" s="11">
        <v>561177</v>
      </c>
      <c r="C69" s="11"/>
      <c r="D69" s="11">
        <v>0</v>
      </c>
      <c r="E69" s="11"/>
      <c r="F69" s="11">
        <v>0</v>
      </c>
      <c r="G69" s="11"/>
      <c r="H69" s="11">
        <f t="shared" si="4"/>
        <v>561177</v>
      </c>
      <c r="J69" s="3">
        <v>561177.27</v>
      </c>
      <c r="K69" s="5">
        <f t="shared" si="5"/>
        <v>0.27000000001862645</v>
      </c>
      <c r="L69" s="38" t="s">
        <v>367</v>
      </c>
    </row>
    <row r="70" spans="1:14" x14ac:dyDescent="0.2">
      <c r="A70" s="11" t="s">
        <v>289</v>
      </c>
      <c r="B70" s="11">
        <v>550000</v>
      </c>
      <c r="C70" s="11"/>
      <c r="D70" s="11">
        <v>0</v>
      </c>
      <c r="E70" s="11"/>
      <c r="F70" s="11">
        <v>470454</v>
      </c>
      <c r="G70" s="11"/>
      <c r="H70" s="11">
        <f t="shared" si="4"/>
        <v>79546</v>
      </c>
      <c r="J70" s="3">
        <v>79545.75</v>
      </c>
      <c r="K70" s="5">
        <f t="shared" si="5"/>
        <v>-0.25</v>
      </c>
      <c r="L70" s="38" t="s">
        <v>290</v>
      </c>
    </row>
    <row r="71" spans="1:14" x14ac:dyDescent="0.2">
      <c r="A71" s="11" t="s">
        <v>21</v>
      </c>
      <c r="B71" s="11">
        <v>525107</v>
      </c>
      <c r="C71" s="11"/>
      <c r="D71" s="11">
        <f>64290-1</f>
        <v>64289</v>
      </c>
      <c r="E71" s="11"/>
      <c r="F71" s="11">
        <v>268509</v>
      </c>
      <c r="G71" s="11"/>
      <c r="H71" s="11">
        <f t="shared" si="4"/>
        <v>320887</v>
      </c>
      <c r="J71" s="3">
        <f>320887.55</f>
        <v>320887.55</v>
      </c>
      <c r="K71" s="5">
        <f t="shared" si="5"/>
        <v>0.54999999998835847</v>
      </c>
      <c r="L71" s="38" t="s">
        <v>368</v>
      </c>
      <c r="M71" s="38" t="s">
        <v>369</v>
      </c>
    </row>
    <row r="72" spans="1:14" x14ac:dyDescent="0.2">
      <c r="A72" s="11" t="s">
        <v>22</v>
      </c>
      <c r="B72" s="11">
        <v>41090</v>
      </c>
      <c r="C72" s="11"/>
      <c r="D72" s="11">
        <v>0</v>
      </c>
      <c r="E72" s="11"/>
      <c r="F72" s="11">
        <v>0</v>
      </c>
      <c r="G72" s="11"/>
      <c r="H72" s="11">
        <f t="shared" si="4"/>
        <v>41090</v>
      </c>
      <c r="J72" s="3">
        <v>41090.25</v>
      </c>
      <c r="K72" s="5">
        <f t="shared" si="5"/>
        <v>0.25</v>
      </c>
      <c r="L72" s="38" t="s">
        <v>370</v>
      </c>
    </row>
    <row r="73" spans="1:14" x14ac:dyDescent="0.2">
      <c r="A73" s="11" t="s">
        <v>162</v>
      </c>
      <c r="B73" s="11">
        <v>27197</v>
      </c>
      <c r="C73" s="11"/>
      <c r="D73" s="11">
        <v>0</v>
      </c>
      <c r="E73" s="11"/>
      <c r="F73" s="11">
        <v>24529</v>
      </c>
      <c r="G73" s="11"/>
      <c r="H73" s="11">
        <f t="shared" si="4"/>
        <v>2668</v>
      </c>
      <c r="J73" s="3">
        <v>2668.18</v>
      </c>
      <c r="K73" s="5">
        <f t="shared" si="5"/>
        <v>0.17999999999983629</v>
      </c>
      <c r="L73" s="38" t="s">
        <v>336</v>
      </c>
    </row>
    <row r="74" spans="1:14" x14ac:dyDescent="0.2">
      <c r="A74" s="11" t="s">
        <v>23</v>
      </c>
      <c r="B74" s="11">
        <v>509753</v>
      </c>
      <c r="C74" s="11"/>
      <c r="D74" s="11">
        <v>0</v>
      </c>
      <c r="E74" s="11"/>
      <c r="F74" s="11">
        <v>390600</v>
      </c>
      <c r="G74" s="11"/>
      <c r="H74" s="11">
        <f t="shared" si="4"/>
        <v>119153</v>
      </c>
      <c r="J74" s="3">
        <v>119152.75</v>
      </c>
      <c r="K74" s="5">
        <f t="shared" si="5"/>
        <v>-0.25</v>
      </c>
      <c r="L74" s="38" t="s">
        <v>371</v>
      </c>
    </row>
    <row r="75" spans="1:14" x14ac:dyDescent="0.2">
      <c r="A75" s="11" t="s">
        <v>151</v>
      </c>
      <c r="B75" s="11">
        <v>250</v>
      </c>
      <c r="C75" s="11"/>
      <c r="D75" s="11">
        <v>0</v>
      </c>
      <c r="E75" s="11"/>
      <c r="F75" s="11">
        <v>0</v>
      </c>
      <c r="G75" s="11"/>
      <c r="H75" s="11">
        <f t="shared" si="4"/>
        <v>250</v>
      </c>
      <c r="J75" s="3">
        <v>250</v>
      </c>
      <c r="K75" s="5">
        <f t="shared" si="5"/>
        <v>0</v>
      </c>
      <c r="L75" s="38" t="s">
        <v>194</v>
      </c>
    </row>
    <row r="76" spans="1:14" x14ac:dyDescent="0.2">
      <c r="A76" s="11" t="s">
        <v>70</v>
      </c>
      <c r="B76" s="11">
        <v>635241</v>
      </c>
      <c r="C76" s="11"/>
      <c r="D76" s="11">
        <f>99126-1</f>
        <v>99125</v>
      </c>
      <c r="E76" s="11"/>
      <c r="F76" s="11">
        <v>17355</v>
      </c>
      <c r="G76" s="11"/>
      <c r="H76" s="11">
        <f t="shared" si="4"/>
        <v>717011</v>
      </c>
      <c r="J76" s="3">
        <f>617886.21+99125.41</f>
        <v>717011.62</v>
      </c>
      <c r="K76" s="5">
        <f t="shared" si="5"/>
        <v>0.61999999999534339</v>
      </c>
      <c r="L76" s="38" t="s">
        <v>230</v>
      </c>
      <c r="M76" s="4">
        <v>666</v>
      </c>
    </row>
    <row r="77" spans="1:14" x14ac:dyDescent="0.2">
      <c r="A77" s="11" t="s">
        <v>179</v>
      </c>
      <c r="B77" s="11">
        <v>235</v>
      </c>
      <c r="C77" s="11"/>
      <c r="D77" s="11">
        <v>-235</v>
      </c>
      <c r="E77" s="11"/>
      <c r="F77" s="11">
        <v>0</v>
      </c>
      <c r="G77" s="11"/>
      <c r="H77" s="11">
        <f t="shared" si="4"/>
        <v>0</v>
      </c>
      <c r="J77" s="3">
        <v>0</v>
      </c>
      <c r="K77" s="5">
        <f t="shared" si="5"/>
        <v>0</v>
      </c>
      <c r="L77" s="27" t="s">
        <v>331</v>
      </c>
    </row>
    <row r="78" spans="1:14" x14ac:dyDescent="0.2">
      <c r="A78" s="11" t="s">
        <v>180</v>
      </c>
      <c r="B78" s="11">
        <v>4530</v>
      </c>
      <c r="C78" s="11"/>
      <c r="D78" s="11">
        <v>0</v>
      </c>
      <c r="E78" s="11"/>
      <c r="F78" s="11">
        <v>0</v>
      </c>
      <c r="G78" s="11"/>
      <c r="H78" s="11">
        <f t="shared" si="4"/>
        <v>4530</v>
      </c>
      <c r="J78" s="3">
        <v>4530</v>
      </c>
      <c r="K78" s="5">
        <f t="shared" si="5"/>
        <v>0</v>
      </c>
      <c r="L78" s="38" t="s">
        <v>372</v>
      </c>
    </row>
    <row r="79" spans="1:14" x14ac:dyDescent="0.2">
      <c r="A79" s="11" t="s">
        <v>113</v>
      </c>
      <c r="B79" s="13">
        <f>4367632+74961</f>
        <v>4442593</v>
      </c>
      <c r="C79" s="11"/>
      <c r="D79" s="11">
        <v>-300000</v>
      </c>
      <c r="E79" s="11"/>
      <c r="F79" s="11">
        <v>0</v>
      </c>
      <c r="G79" s="11"/>
      <c r="H79" s="13">
        <f>+B79+D79-F79</f>
        <v>4142593</v>
      </c>
      <c r="J79" s="3">
        <v>4142592.52</v>
      </c>
      <c r="K79" s="5">
        <f t="shared" si="5"/>
        <v>-0.47999999998137355</v>
      </c>
      <c r="L79" s="60" t="s">
        <v>374</v>
      </c>
    </row>
    <row r="80" spans="1:14" x14ac:dyDescent="0.2">
      <c r="A80" s="11" t="s">
        <v>152</v>
      </c>
      <c r="B80" s="13">
        <v>1015750</v>
      </c>
      <c r="C80" s="11"/>
      <c r="D80" s="11">
        <v>300000</v>
      </c>
      <c r="E80" s="11"/>
      <c r="F80" s="11">
        <v>245124</v>
      </c>
      <c r="G80" s="11"/>
      <c r="H80" s="13">
        <f>+B80+D80-F80</f>
        <v>1070626</v>
      </c>
      <c r="J80" s="3">
        <v>1070625.47</v>
      </c>
      <c r="K80" s="5">
        <f t="shared" si="5"/>
        <v>-0.53000000002793968</v>
      </c>
      <c r="L80" s="38" t="s">
        <v>233</v>
      </c>
    </row>
    <row r="81" spans="1:25" x14ac:dyDescent="0.2">
      <c r="A81" s="11" t="s">
        <v>17</v>
      </c>
      <c r="B81" s="11">
        <v>185691</v>
      </c>
      <c r="C81" s="11"/>
      <c r="D81" s="11">
        <v>440</v>
      </c>
      <c r="E81" s="11"/>
      <c r="F81" s="11">
        <v>62266</v>
      </c>
      <c r="G81" s="11"/>
      <c r="H81" s="11">
        <f t="shared" si="4"/>
        <v>123865</v>
      </c>
      <c r="J81" s="3">
        <v>123864.42</v>
      </c>
      <c r="K81" s="5">
        <f t="shared" si="5"/>
        <v>-0.58000000000174623</v>
      </c>
      <c r="L81" s="38" t="s">
        <v>224</v>
      </c>
    </row>
    <row r="82" spans="1:25" x14ac:dyDescent="0.2">
      <c r="A82" s="11" t="s">
        <v>105</v>
      </c>
      <c r="B82" s="11">
        <v>997924</v>
      </c>
      <c r="C82" s="11"/>
      <c r="D82" s="11">
        <v>-391000</v>
      </c>
      <c r="E82" s="11"/>
      <c r="F82" s="11">
        <v>548933</v>
      </c>
      <c r="G82" s="11"/>
      <c r="H82" s="11">
        <f t="shared" si="4"/>
        <v>57991</v>
      </c>
      <c r="J82" s="3">
        <v>57991.72</v>
      </c>
      <c r="K82" s="5">
        <f t="shared" si="5"/>
        <v>0.72000000000116415</v>
      </c>
      <c r="L82" s="38" t="s">
        <v>232</v>
      </c>
    </row>
    <row r="83" spans="1:25" x14ac:dyDescent="0.2">
      <c r="A83" s="11" t="s">
        <v>18</v>
      </c>
      <c r="B83" s="11">
        <v>692816</v>
      </c>
      <c r="C83" s="11"/>
      <c r="D83" s="11">
        <v>83863</v>
      </c>
      <c r="E83" s="11"/>
      <c r="F83" s="11">
        <v>0</v>
      </c>
      <c r="G83" s="11"/>
      <c r="H83" s="11">
        <f t="shared" si="4"/>
        <v>776679</v>
      </c>
      <c r="J83" s="3">
        <v>776678.95</v>
      </c>
      <c r="K83" s="5">
        <f t="shared" si="5"/>
        <v>-5.0000000046566129E-2</v>
      </c>
      <c r="L83" s="38" t="s">
        <v>375</v>
      </c>
    </row>
    <row r="84" spans="1:25" x14ac:dyDescent="0.2">
      <c r="A84" s="11" t="s">
        <v>83</v>
      </c>
      <c r="B84" s="11">
        <v>0</v>
      </c>
      <c r="C84" s="11"/>
      <c r="D84" s="11">
        <v>1973</v>
      </c>
      <c r="E84" s="11"/>
      <c r="F84" s="11">
        <v>0</v>
      </c>
      <c r="G84" s="11"/>
      <c r="H84" s="11">
        <f t="shared" si="4"/>
        <v>1973</v>
      </c>
      <c r="J84" s="3">
        <v>1972.8</v>
      </c>
      <c r="K84" s="5">
        <f t="shared" si="5"/>
        <v>-0.20000000000004547</v>
      </c>
      <c r="L84" s="38" t="s">
        <v>214</v>
      </c>
    </row>
    <row r="85" spans="1:25" x14ac:dyDescent="0.2">
      <c r="A85" s="11" t="s">
        <v>327</v>
      </c>
      <c r="B85" s="11">
        <v>27090</v>
      </c>
      <c r="C85" s="11"/>
      <c r="D85" s="11">
        <v>0</v>
      </c>
      <c r="E85" s="11"/>
      <c r="F85" s="11">
        <v>25278</v>
      </c>
      <c r="G85" s="11"/>
      <c r="H85" s="11">
        <f t="shared" si="4"/>
        <v>1812</v>
      </c>
      <c r="J85" s="3">
        <v>1812.29</v>
      </c>
      <c r="K85" s="5">
        <f t="shared" si="5"/>
        <v>0.28999999999996362</v>
      </c>
      <c r="L85" s="38" t="s">
        <v>328</v>
      </c>
    </row>
    <row r="86" spans="1:25" x14ac:dyDescent="0.2">
      <c r="A86" s="11" t="s">
        <v>185</v>
      </c>
      <c r="B86" s="11">
        <v>340603</v>
      </c>
      <c r="C86" s="11"/>
      <c r="D86" s="11">
        <v>0</v>
      </c>
      <c r="E86" s="11"/>
      <c r="F86" s="11">
        <v>272211</v>
      </c>
      <c r="G86" s="11"/>
      <c r="H86" s="11">
        <f t="shared" si="4"/>
        <v>68392</v>
      </c>
      <c r="J86" s="3">
        <v>68391.520000000004</v>
      </c>
      <c r="K86" s="5">
        <f t="shared" si="5"/>
        <v>-0.47999999999592546</v>
      </c>
      <c r="L86" s="38" t="s">
        <v>376</v>
      </c>
    </row>
    <row r="87" spans="1:25" x14ac:dyDescent="0.2">
      <c r="A87" s="11" t="s">
        <v>181</v>
      </c>
      <c r="B87" s="11">
        <v>31877</v>
      </c>
      <c r="C87" s="11"/>
      <c r="D87" s="11">
        <v>-31877</v>
      </c>
      <c r="E87" s="11"/>
      <c r="F87" s="11">
        <v>0</v>
      </c>
      <c r="G87" s="11"/>
      <c r="H87" s="11">
        <f t="shared" si="4"/>
        <v>0</v>
      </c>
      <c r="J87" s="3">
        <v>0</v>
      </c>
      <c r="K87" s="5">
        <f t="shared" si="5"/>
        <v>0</v>
      </c>
      <c r="L87" s="38" t="s">
        <v>377</v>
      </c>
    </row>
    <row r="88" spans="1:25" x14ac:dyDescent="0.2">
      <c r="A88" s="11" t="s">
        <v>321</v>
      </c>
      <c r="B88" s="11">
        <v>1000000</v>
      </c>
      <c r="C88" s="11"/>
      <c r="D88" s="11">
        <v>-902262</v>
      </c>
      <c r="E88" s="11"/>
      <c r="F88" s="11">
        <v>37815</v>
      </c>
      <c r="G88" s="11"/>
      <c r="H88" s="11">
        <f t="shared" si="4"/>
        <v>59923</v>
      </c>
      <c r="J88" s="3">
        <v>59923.08</v>
      </c>
      <c r="K88" s="5">
        <f t="shared" si="5"/>
        <v>8.000000000174623E-2</v>
      </c>
      <c r="L88" s="38" t="s">
        <v>322</v>
      </c>
    </row>
    <row r="89" spans="1:25" x14ac:dyDescent="0.2">
      <c r="A89" s="11" t="s">
        <v>319</v>
      </c>
      <c r="B89" s="11">
        <v>497185</v>
      </c>
      <c r="C89" s="11"/>
      <c r="D89" s="11">
        <v>-497185</v>
      </c>
      <c r="E89" s="11"/>
      <c r="F89" s="11">
        <v>0</v>
      </c>
      <c r="G89" s="11"/>
      <c r="H89" s="11">
        <f t="shared" si="4"/>
        <v>0</v>
      </c>
      <c r="J89" s="3">
        <v>0</v>
      </c>
      <c r="K89" s="5">
        <f t="shared" si="5"/>
        <v>0</v>
      </c>
      <c r="L89" s="38" t="s">
        <v>320</v>
      </c>
    </row>
    <row r="90" spans="1:25" x14ac:dyDescent="0.2">
      <c r="A90" s="11" t="s">
        <v>64</v>
      </c>
      <c r="B90" s="11">
        <f>41739+140000</f>
        <v>181739</v>
      </c>
      <c r="C90" s="11"/>
      <c r="D90" s="11">
        <v>0</v>
      </c>
      <c r="E90" s="11"/>
      <c r="F90" s="11">
        <v>37120</v>
      </c>
      <c r="G90" s="11"/>
      <c r="H90" s="11">
        <f t="shared" si="4"/>
        <v>144619</v>
      </c>
      <c r="J90" s="3">
        <v>144619.49</v>
      </c>
      <c r="K90" s="5">
        <f>J90-H90</f>
        <v>0.48999999999068677</v>
      </c>
      <c r="L90" s="59" t="s">
        <v>228</v>
      </c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</row>
    <row r="91" spans="1:25" x14ac:dyDescent="0.2">
      <c r="A91" s="11" t="s">
        <v>19</v>
      </c>
      <c r="B91" s="11">
        <v>1114702</v>
      </c>
      <c r="C91" s="11"/>
      <c r="D91" s="11">
        <v>950068</v>
      </c>
      <c r="E91" s="11"/>
      <c r="F91" s="11">
        <v>203208</v>
      </c>
      <c r="G91" s="11"/>
      <c r="H91" s="11">
        <f t="shared" ref="H91:H106" si="6">+B91+D91-F91</f>
        <v>1861562</v>
      </c>
      <c r="J91" s="3">
        <v>1861562.85</v>
      </c>
      <c r="K91" s="5">
        <f t="shared" si="5"/>
        <v>0.85000000009313226</v>
      </c>
      <c r="L91" s="38" t="s">
        <v>226</v>
      </c>
    </row>
    <row r="92" spans="1:25" x14ac:dyDescent="0.2">
      <c r="A92" s="11" t="s">
        <v>492</v>
      </c>
      <c r="B92" s="11">
        <v>0</v>
      </c>
      <c r="C92" s="11"/>
      <c r="D92" s="11">
        <v>1040000</v>
      </c>
      <c r="E92" s="11"/>
      <c r="F92" s="11">
        <v>0</v>
      </c>
      <c r="G92" s="11"/>
      <c r="H92" s="11">
        <f t="shared" si="6"/>
        <v>1040000</v>
      </c>
      <c r="J92" s="3">
        <v>1040000</v>
      </c>
      <c r="K92" s="5">
        <f t="shared" si="5"/>
        <v>0</v>
      </c>
      <c r="L92" s="38">
        <v>733</v>
      </c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</row>
    <row r="93" spans="1:25" x14ac:dyDescent="0.2">
      <c r="A93" s="11" t="s">
        <v>461</v>
      </c>
      <c r="B93" s="11">
        <v>400000</v>
      </c>
      <c r="C93" s="11"/>
      <c r="D93" s="11">
        <v>0</v>
      </c>
      <c r="E93" s="11"/>
      <c r="F93" s="11">
        <v>0</v>
      </c>
      <c r="G93" s="11"/>
      <c r="H93" s="11">
        <f t="shared" si="6"/>
        <v>400000</v>
      </c>
      <c r="J93" s="3">
        <v>400000</v>
      </c>
      <c r="K93" s="5">
        <f t="shared" si="5"/>
        <v>0</v>
      </c>
      <c r="L93" s="38" t="s">
        <v>460</v>
      </c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</row>
    <row r="94" spans="1:25" x14ac:dyDescent="0.2">
      <c r="A94" s="11" t="s">
        <v>489</v>
      </c>
      <c r="B94" s="11">
        <v>0</v>
      </c>
      <c r="C94" s="11"/>
      <c r="D94" s="11">
        <v>125000</v>
      </c>
      <c r="E94" s="11"/>
      <c r="F94" s="11">
        <v>0</v>
      </c>
      <c r="G94" s="11"/>
      <c r="H94" s="11">
        <f t="shared" si="6"/>
        <v>125000</v>
      </c>
      <c r="J94" s="3">
        <v>125000</v>
      </c>
      <c r="K94" s="5">
        <f t="shared" si="5"/>
        <v>0</v>
      </c>
      <c r="L94" s="38">
        <v>730</v>
      </c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</row>
    <row r="95" spans="1:25" x14ac:dyDescent="0.2">
      <c r="A95" s="11" t="s">
        <v>85</v>
      </c>
      <c r="B95" s="11">
        <v>13761573</v>
      </c>
      <c r="C95" s="11"/>
      <c r="D95" s="11">
        <f>2500000-190549</f>
        <v>2309451</v>
      </c>
      <c r="E95" s="11"/>
      <c r="F95" s="11">
        <f>2154878+4975061+200633+1</f>
        <v>7330573</v>
      </c>
      <c r="G95" s="11"/>
      <c r="H95" s="11">
        <f t="shared" si="6"/>
        <v>8740451</v>
      </c>
      <c r="J95" s="3">
        <f>2531292.01+253725.33+5955433.57</f>
        <v>8740450.9100000001</v>
      </c>
      <c r="K95" s="5">
        <f t="shared" si="5"/>
        <v>-8.9999999850988388E-2</v>
      </c>
      <c r="L95" s="38" t="s">
        <v>378</v>
      </c>
      <c r="M95" s="59" t="s">
        <v>215</v>
      </c>
      <c r="N95" s="46" t="s">
        <v>216</v>
      </c>
    </row>
    <row r="96" spans="1:25" x14ac:dyDescent="0.2">
      <c r="A96" s="11" t="s">
        <v>68</v>
      </c>
      <c r="B96" s="11">
        <v>709167</v>
      </c>
      <c r="C96" s="11"/>
      <c r="D96" s="11">
        <f>-306000+381000</f>
        <v>75000</v>
      </c>
      <c r="E96" s="11"/>
      <c r="F96" s="11">
        <f>171601+4833</f>
        <v>176434</v>
      </c>
      <c r="G96" s="11"/>
      <c r="H96" s="11">
        <f>+B96+D96-F96</f>
        <v>607733</v>
      </c>
      <c r="J96" s="3">
        <f>154843.43+243489.95+209399.16</f>
        <v>607732.54</v>
      </c>
      <c r="K96" s="5">
        <f t="shared" si="5"/>
        <v>-0.4599999999627471</v>
      </c>
      <c r="L96" s="38" t="s">
        <v>423</v>
      </c>
      <c r="M96" s="38" t="s">
        <v>424</v>
      </c>
      <c r="N96" s="44">
        <v>677</v>
      </c>
    </row>
    <row r="97" spans="1:30" x14ac:dyDescent="0.2">
      <c r="A97" s="11" t="s">
        <v>310</v>
      </c>
      <c r="B97" s="11">
        <v>700000</v>
      </c>
      <c r="C97" s="11"/>
      <c r="D97" s="11">
        <v>240000</v>
      </c>
      <c r="E97" s="11"/>
      <c r="F97" s="11">
        <v>29474</v>
      </c>
      <c r="G97" s="11"/>
      <c r="H97" s="11">
        <f>+B97+D97-F97</f>
        <v>910526</v>
      </c>
      <c r="J97" s="3">
        <v>910525.67</v>
      </c>
      <c r="K97" s="5">
        <f t="shared" si="5"/>
        <v>-0.32999999995809048</v>
      </c>
      <c r="L97" s="38" t="s">
        <v>311</v>
      </c>
    </row>
    <row r="98" spans="1:30" x14ac:dyDescent="0.2">
      <c r="A98" s="11" t="s">
        <v>54</v>
      </c>
      <c r="B98" s="11">
        <v>441843</v>
      </c>
      <c r="C98" s="11"/>
      <c r="D98" s="11">
        <v>0</v>
      </c>
      <c r="E98" s="11"/>
      <c r="F98" s="11">
        <v>0</v>
      </c>
      <c r="G98" s="11"/>
      <c r="H98" s="11">
        <f t="shared" si="6"/>
        <v>441843</v>
      </c>
      <c r="J98" s="3">
        <v>441842.85</v>
      </c>
      <c r="K98" s="5">
        <f t="shared" si="5"/>
        <v>-0.15000000002328306</v>
      </c>
      <c r="L98" s="38" t="s">
        <v>227</v>
      </c>
    </row>
    <row r="99" spans="1:30" x14ac:dyDescent="0.2">
      <c r="A99" s="11" t="s">
        <v>317</v>
      </c>
      <c r="B99" s="11">
        <v>300000</v>
      </c>
      <c r="C99" s="11"/>
      <c r="D99" s="11">
        <v>-300000</v>
      </c>
      <c r="E99" s="11"/>
      <c r="F99" s="11">
        <v>0</v>
      </c>
      <c r="G99" s="11"/>
      <c r="H99" s="11">
        <f t="shared" si="6"/>
        <v>0</v>
      </c>
      <c r="J99" s="3">
        <v>0</v>
      </c>
      <c r="K99" s="5">
        <f t="shared" si="5"/>
        <v>0</v>
      </c>
      <c r="L99" s="38" t="s">
        <v>318</v>
      </c>
    </row>
    <row r="100" spans="1:30" x14ac:dyDescent="0.2">
      <c r="A100" s="11" t="s">
        <v>141</v>
      </c>
      <c r="B100" s="11">
        <v>358</v>
      </c>
      <c r="C100" s="11"/>
      <c r="D100" s="11">
        <v>11043</v>
      </c>
      <c r="E100" s="11"/>
      <c r="F100" s="11">
        <v>0</v>
      </c>
      <c r="G100" s="11"/>
      <c r="H100" s="11">
        <f t="shared" si="6"/>
        <v>11401</v>
      </c>
      <c r="J100" s="3">
        <v>11401.39</v>
      </c>
      <c r="K100" s="5">
        <f t="shared" si="5"/>
        <v>0.38999999999941792</v>
      </c>
      <c r="L100" s="38" t="s">
        <v>403</v>
      </c>
    </row>
    <row r="101" spans="1:30" x14ac:dyDescent="0.2">
      <c r="A101" s="11" t="s">
        <v>75</v>
      </c>
      <c r="B101" s="11">
        <v>596272</v>
      </c>
      <c r="C101" s="11"/>
      <c r="D101" s="11">
        <f>-550000+50000</f>
        <v>-500000</v>
      </c>
      <c r="E101" s="11"/>
      <c r="F101" s="11">
        <v>0</v>
      </c>
      <c r="G101" s="11"/>
      <c r="H101" s="11">
        <f t="shared" si="6"/>
        <v>96272</v>
      </c>
      <c r="J101" s="3">
        <f>46271.36+50000</f>
        <v>96271.360000000001</v>
      </c>
      <c r="K101" s="5">
        <f t="shared" si="5"/>
        <v>-0.63999999999941792</v>
      </c>
      <c r="L101" s="38" t="s">
        <v>231</v>
      </c>
      <c r="M101" s="4">
        <v>718</v>
      </c>
    </row>
    <row r="102" spans="1:30" x14ac:dyDescent="0.2">
      <c r="A102" s="11" t="s">
        <v>99</v>
      </c>
      <c r="B102" s="11">
        <v>3664345</v>
      </c>
      <c r="C102" s="11"/>
      <c r="D102" s="11">
        <v>-431240</v>
      </c>
      <c r="E102" s="11"/>
      <c r="F102" s="11">
        <v>0</v>
      </c>
      <c r="G102" s="11"/>
      <c r="H102" s="11">
        <f t="shared" si="6"/>
        <v>3233105</v>
      </c>
      <c r="J102" s="3">
        <f>3233105.49</f>
        <v>3233105.49</v>
      </c>
      <c r="K102" s="5">
        <f t="shared" si="5"/>
        <v>0.49000000022351742</v>
      </c>
      <c r="L102" s="38" t="s">
        <v>425</v>
      </c>
      <c r="M102" s="38" t="s">
        <v>426</v>
      </c>
    </row>
    <row r="103" spans="1:30" x14ac:dyDescent="0.2">
      <c r="A103" s="11" t="s">
        <v>315</v>
      </c>
      <c r="B103" s="11">
        <v>500000</v>
      </c>
      <c r="C103" s="11"/>
      <c r="D103" s="11">
        <v>0</v>
      </c>
      <c r="E103" s="11"/>
      <c r="F103" s="11">
        <v>291338</v>
      </c>
      <c r="G103" s="11"/>
      <c r="H103" s="11">
        <f t="shared" si="6"/>
        <v>208662</v>
      </c>
      <c r="J103" s="3">
        <v>208662</v>
      </c>
      <c r="K103" s="5">
        <f t="shared" si="5"/>
        <v>0</v>
      </c>
      <c r="L103" s="38" t="s">
        <v>316</v>
      </c>
    </row>
    <row r="104" spans="1:30" x14ac:dyDescent="0.2">
      <c r="A104" s="11" t="s">
        <v>281</v>
      </c>
      <c r="B104" s="11">
        <v>84800</v>
      </c>
      <c r="C104" s="11"/>
      <c r="D104" s="11">
        <v>13712</v>
      </c>
      <c r="E104" s="11"/>
      <c r="F104" s="11">
        <v>93712</v>
      </c>
      <c r="G104" s="11"/>
      <c r="H104" s="11">
        <f t="shared" si="6"/>
        <v>4800</v>
      </c>
      <c r="J104" s="3">
        <f>4800+0</f>
        <v>4800</v>
      </c>
      <c r="K104" s="5">
        <f t="shared" si="5"/>
        <v>0</v>
      </c>
      <c r="L104" s="40" t="s">
        <v>335</v>
      </c>
      <c r="M104" s="38" t="s">
        <v>282</v>
      </c>
      <c r="N104" s="4"/>
      <c r="O104" s="44"/>
      <c r="Z104" s="3"/>
      <c r="AC104" s="16"/>
    </row>
    <row r="105" spans="1:30" x14ac:dyDescent="0.2">
      <c r="A105" s="11" t="s">
        <v>500</v>
      </c>
      <c r="B105" s="11">
        <v>0</v>
      </c>
      <c r="C105" s="11"/>
      <c r="D105" s="11">
        <v>390549</v>
      </c>
      <c r="E105" s="11"/>
      <c r="F105" s="11">
        <v>261660</v>
      </c>
      <c r="G105" s="11"/>
      <c r="H105" s="11">
        <f t="shared" si="6"/>
        <v>128889</v>
      </c>
      <c r="J105" s="3">
        <v>128888.8</v>
      </c>
      <c r="K105" s="5">
        <f t="shared" si="5"/>
        <v>-0.19999999999708962</v>
      </c>
      <c r="L105" s="40">
        <v>659</v>
      </c>
      <c r="M105" s="38"/>
      <c r="N105" s="4"/>
      <c r="O105" s="44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3"/>
      <c r="AC105" s="16"/>
    </row>
    <row r="106" spans="1:30" x14ac:dyDescent="0.2">
      <c r="A106" s="11" t="s">
        <v>55</v>
      </c>
      <c r="B106" s="11">
        <v>367779</v>
      </c>
      <c r="C106" s="11"/>
      <c r="D106" s="11">
        <v>0</v>
      </c>
      <c r="E106" s="11"/>
      <c r="F106" s="11">
        <v>99750</v>
      </c>
      <c r="G106" s="11"/>
      <c r="H106" s="11">
        <f t="shared" si="6"/>
        <v>268029</v>
      </c>
      <c r="J106" s="24">
        <v>268028.53999999998</v>
      </c>
      <c r="K106" s="5">
        <f t="shared" si="5"/>
        <v>-0.46000000002095476</v>
      </c>
      <c r="L106" s="38" t="s">
        <v>219</v>
      </c>
    </row>
    <row r="107" spans="1:30" x14ac:dyDescent="0.2">
      <c r="A107" s="11" t="s">
        <v>90</v>
      </c>
      <c r="B107" s="11">
        <f>219372+70255</f>
        <v>289627</v>
      </c>
      <c r="C107" s="11"/>
      <c r="D107" s="11">
        <v>0</v>
      </c>
      <c r="E107" s="11"/>
      <c r="F107" s="11">
        <v>-24</v>
      </c>
      <c r="G107" s="11"/>
      <c r="H107" s="11">
        <f t="shared" ref="H107:H114" si="7">+B107+D107-F107</f>
        <v>289651</v>
      </c>
      <c r="J107" s="3">
        <f>2412.12+283067.53+4171.13</f>
        <v>289650.78000000003</v>
      </c>
      <c r="K107" s="5">
        <f t="shared" si="5"/>
        <v>-0.21999999997206032</v>
      </c>
      <c r="L107" s="40" t="s">
        <v>338</v>
      </c>
      <c r="M107" s="48" t="s">
        <v>339</v>
      </c>
      <c r="N107" s="38" t="s">
        <v>340</v>
      </c>
      <c r="O107" s="4"/>
      <c r="P107" s="44"/>
      <c r="Z107" s="3"/>
      <c r="AA107" s="3"/>
      <c r="AC107" s="16"/>
      <c r="AD107" s="16"/>
    </row>
    <row r="108" spans="1:30" x14ac:dyDescent="0.2">
      <c r="A108" s="11" t="s">
        <v>84</v>
      </c>
      <c r="B108" s="11">
        <v>2326023</v>
      </c>
      <c r="C108" s="11"/>
      <c r="D108" s="11">
        <f>8913+550000+15800</f>
        <v>574713</v>
      </c>
      <c r="E108" s="11"/>
      <c r="F108" s="11">
        <f>77585+7062</f>
        <v>84647</v>
      </c>
      <c r="G108" s="11"/>
      <c r="H108" s="11">
        <f t="shared" si="7"/>
        <v>2816089</v>
      </c>
      <c r="J108" s="3">
        <f>453845.55+2353505.5+8738.29</f>
        <v>2816089.34</v>
      </c>
      <c r="K108" s="5">
        <f t="shared" si="5"/>
        <v>0.33999999985098839</v>
      </c>
      <c r="L108" s="38" t="s">
        <v>427</v>
      </c>
      <c r="M108" s="38" t="s">
        <v>428</v>
      </c>
      <c r="N108" s="37">
        <v>683</v>
      </c>
      <c r="X108" s="16"/>
      <c r="Y108" s="16"/>
      <c r="AA108" s="15"/>
      <c r="AB108" s="15"/>
    </row>
    <row r="109" spans="1:30" x14ac:dyDescent="0.2">
      <c r="A109" s="11" t="s">
        <v>184</v>
      </c>
      <c r="B109" s="11">
        <v>1716</v>
      </c>
      <c r="C109" s="11"/>
      <c r="D109" s="11">
        <v>-1716</v>
      </c>
      <c r="E109" s="11"/>
      <c r="F109" s="11">
        <v>0</v>
      </c>
      <c r="G109" s="11"/>
      <c r="H109" s="11">
        <f t="shared" si="7"/>
        <v>0</v>
      </c>
      <c r="J109" s="3">
        <v>0</v>
      </c>
      <c r="K109" s="5">
        <f t="shared" si="5"/>
        <v>0</v>
      </c>
      <c r="L109" s="38" t="s">
        <v>381</v>
      </c>
    </row>
    <row r="110" spans="1:30" x14ac:dyDescent="0.2">
      <c r="A110" s="11" t="s">
        <v>411</v>
      </c>
      <c r="B110" s="11">
        <v>850000</v>
      </c>
      <c r="C110" s="11"/>
      <c r="D110" s="11">
        <v>-100000</v>
      </c>
      <c r="E110" s="11"/>
      <c r="F110" s="11">
        <v>409019</v>
      </c>
      <c r="G110" s="11"/>
      <c r="H110" s="11">
        <f t="shared" si="7"/>
        <v>340981</v>
      </c>
      <c r="J110" s="3">
        <v>340981</v>
      </c>
      <c r="K110" s="5">
        <f t="shared" si="5"/>
        <v>0</v>
      </c>
      <c r="L110" s="38" t="s">
        <v>325</v>
      </c>
    </row>
    <row r="111" spans="1:30" x14ac:dyDescent="0.2">
      <c r="A111" s="11" t="s">
        <v>490</v>
      </c>
      <c r="B111" s="11">
        <v>0</v>
      </c>
      <c r="C111" s="11"/>
      <c r="D111" s="11">
        <v>200000</v>
      </c>
      <c r="E111" s="11"/>
      <c r="F111" s="11">
        <v>0</v>
      </c>
      <c r="G111" s="11"/>
      <c r="H111" s="11">
        <f t="shared" si="7"/>
        <v>200000</v>
      </c>
      <c r="J111" s="3">
        <v>200000</v>
      </c>
      <c r="K111" s="5">
        <f t="shared" si="5"/>
        <v>0</v>
      </c>
      <c r="L111" s="38">
        <v>731</v>
      </c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</row>
    <row r="112" spans="1:30" x14ac:dyDescent="0.2">
      <c r="A112" s="11" t="s">
        <v>114</v>
      </c>
      <c r="B112" s="11">
        <v>2200000</v>
      </c>
      <c r="C112" s="11"/>
      <c r="D112" s="11">
        <v>0</v>
      </c>
      <c r="E112" s="11"/>
      <c r="F112" s="11">
        <v>0</v>
      </c>
      <c r="G112" s="11"/>
      <c r="H112" s="11">
        <f t="shared" si="7"/>
        <v>2200000</v>
      </c>
      <c r="J112" s="3">
        <v>2200000</v>
      </c>
      <c r="K112" s="5">
        <f t="shared" si="5"/>
        <v>0</v>
      </c>
      <c r="L112" s="38" t="s">
        <v>429</v>
      </c>
    </row>
    <row r="113" spans="1:31" x14ac:dyDescent="0.2">
      <c r="A113" s="11" t="s">
        <v>493</v>
      </c>
      <c r="B113" s="11">
        <v>0</v>
      </c>
      <c r="C113" s="11"/>
      <c r="D113" s="11">
        <v>50000</v>
      </c>
      <c r="E113" s="11"/>
      <c r="F113" s="11">
        <v>0</v>
      </c>
      <c r="G113" s="11"/>
      <c r="H113" s="11">
        <f t="shared" si="7"/>
        <v>50000</v>
      </c>
      <c r="J113" s="3">
        <v>50000</v>
      </c>
      <c r="K113" s="5">
        <f t="shared" si="5"/>
        <v>0</v>
      </c>
      <c r="L113" s="38">
        <v>717</v>
      </c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</row>
    <row r="114" spans="1:31" x14ac:dyDescent="0.2">
      <c r="A114" s="11" t="s">
        <v>494</v>
      </c>
      <c r="B114" s="11">
        <v>0</v>
      </c>
      <c r="C114" s="11"/>
      <c r="D114" s="11">
        <v>34672</v>
      </c>
      <c r="E114" s="11"/>
      <c r="F114" s="11">
        <v>26085</v>
      </c>
      <c r="G114" s="11"/>
      <c r="H114" s="11">
        <f t="shared" si="7"/>
        <v>8587</v>
      </c>
      <c r="J114" s="3">
        <v>8586.77</v>
      </c>
      <c r="K114" s="5">
        <f t="shared" si="5"/>
        <v>-0.22999999999956344</v>
      </c>
      <c r="L114" s="38">
        <v>706</v>
      </c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</row>
    <row r="115" spans="1:31" x14ac:dyDescent="0.2">
      <c r="A115" s="11" t="s">
        <v>96</v>
      </c>
      <c r="B115" s="11"/>
      <c r="C115" s="11"/>
      <c r="D115" s="11"/>
      <c r="E115" s="11"/>
      <c r="F115" s="11"/>
      <c r="G115" s="11"/>
      <c r="H115" s="11"/>
      <c r="K115" s="5">
        <f t="shared" si="5"/>
        <v>0</v>
      </c>
    </row>
    <row r="116" spans="1:31" x14ac:dyDescent="0.2">
      <c r="A116" s="11" t="s">
        <v>56</v>
      </c>
      <c r="B116" s="11">
        <v>1662228</v>
      </c>
      <c r="C116" s="11"/>
      <c r="D116" s="11">
        <v>12651</v>
      </c>
      <c r="E116" s="11"/>
      <c r="F116" s="11">
        <v>266337</v>
      </c>
      <c r="G116" s="11"/>
      <c r="H116" s="11">
        <f>+B116+D116-F116</f>
        <v>1408542</v>
      </c>
      <c r="J116" s="3">
        <v>1408542.61</v>
      </c>
      <c r="K116" s="5">
        <f t="shared" si="5"/>
        <v>0.61000000010244548</v>
      </c>
      <c r="L116" s="40" t="s">
        <v>430</v>
      </c>
      <c r="M116" s="40" t="s">
        <v>431</v>
      </c>
      <c r="N116" s="40" t="s">
        <v>432</v>
      </c>
      <c r="O116" s="38" t="s">
        <v>433</v>
      </c>
      <c r="P116" s="38" t="s">
        <v>434</v>
      </c>
      <c r="Q116" s="46" t="s">
        <v>309</v>
      </c>
      <c r="Z116" s="3"/>
      <c r="AA116" s="3"/>
      <c r="AB116" s="3"/>
      <c r="AC116" s="16"/>
      <c r="AD116" s="16"/>
      <c r="AE116" s="16"/>
    </row>
    <row r="117" spans="1:31" x14ac:dyDescent="0.2">
      <c r="A117" s="11" t="s">
        <v>293</v>
      </c>
      <c r="B117" s="11">
        <v>690000</v>
      </c>
      <c r="C117" s="11"/>
      <c r="D117" s="11">
        <v>0</v>
      </c>
      <c r="E117" s="11"/>
      <c r="F117" s="11">
        <v>251228</v>
      </c>
      <c r="G117" s="11"/>
      <c r="H117" s="11">
        <f>+B117+D117-F117</f>
        <v>438772</v>
      </c>
      <c r="J117" s="3">
        <v>438771.81</v>
      </c>
      <c r="K117" s="5">
        <f t="shared" si="5"/>
        <v>-0.19000000000232831</v>
      </c>
      <c r="L117" s="38" t="s">
        <v>294</v>
      </c>
    </row>
    <row r="118" spans="1:31" x14ac:dyDescent="0.2">
      <c r="A118" s="11" t="s">
        <v>499</v>
      </c>
      <c r="B118" s="11">
        <v>0</v>
      </c>
      <c r="C118" s="11"/>
      <c r="D118" s="11">
        <v>900000</v>
      </c>
      <c r="E118" s="11"/>
      <c r="F118" s="11">
        <v>295498</v>
      </c>
      <c r="G118" s="11"/>
      <c r="H118" s="11">
        <f>+B118+D118-F118</f>
        <v>604502</v>
      </c>
      <c r="J118" s="3">
        <v>604502.41</v>
      </c>
      <c r="K118" s="5">
        <f t="shared" si="5"/>
        <v>0.41000000003259629</v>
      </c>
      <c r="L118" s="38">
        <v>679</v>
      </c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</row>
    <row r="119" spans="1:31" x14ac:dyDescent="0.2">
      <c r="A119" s="11" t="s">
        <v>86</v>
      </c>
      <c r="B119" s="11">
        <v>44085</v>
      </c>
      <c r="C119" s="11"/>
      <c r="D119" s="11">
        <v>185000</v>
      </c>
      <c r="E119" s="11"/>
      <c r="F119" s="11">
        <v>150394</v>
      </c>
      <c r="G119" s="11"/>
      <c r="H119" s="11">
        <f>+B119+D119-F119</f>
        <v>78691</v>
      </c>
      <c r="J119" s="3">
        <f>4546.4+39538.7+34605.81</f>
        <v>78690.91</v>
      </c>
      <c r="K119" s="5">
        <f t="shared" si="5"/>
        <v>-8.999999999650754E-2</v>
      </c>
      <c r="L119" s="38" t="s">
        <v>379</v>
      </c>
      <c r="M119" s="38" t="s">
        <v>380</v>
      </c>
      <c r="N119" s="44" t="s">
        <v>487</v>
      </c>
    </row>
    <row r="120" spans="1:31" x14ac:dyDescent="0.2">
      <c r="A120" s="11" t="s">
        <v>20</v>
      </c>
      <c r="B120" s="11" t="s">
        <v>2</v>
      </c>
      <c r="C120" s="11"/>
      <c r="D120" s="11"/>
      <c r="E120" s="11"/>
      <c r="F120" s="11"/>
      <c r="G120" s="11"/>
      <c r="H120" s="11" t="s">
        <v>2</v>
      </c>
    </row>
    <row r="121" spans="1:31" x14ac:dyDescent="0.2">
      <c r="A121" s="11" t="s">
        <v>25</v>
      </c>
      <c r="B121" s="11">
        <v>30987</v>
      </c>
      <c r="C121" s="11"/>
      <c r="D121" s="11">
        <f>-16816-14171</f>
        <v>-30987</v>
      </c>
      <c r="E121" s="11"/>
      <c r="F121" s="11">
        <v>0</v>
      </c>
      <c r="G121" s="11"/>
      <c r="H121" s="11">
        <f>B121+D121-F121</f>
        <v>0</v>
      </c>
      <c r="J121" s="3">
        <v>0</v>
      </c>
      <c r="K121" s="5">
        <f t="shared" si="5"/>
        <v>0</v>
      </c>
      <c r="L121" s="38" t="s">
        <v>382</v>
      </c>
      <c r="M121" s="38" t="s">
        <v>383</v>
      </c>
    </row>
    <row r="122" spans="1:31" x14ac:dyDescent="0.2">
      <c r="A122" s="11" t="s">
        <v>182</v>
      </c>
      <c r="B122" s="11">
        <v>43759</v>
      </c>
      <c r="C122" s="11"/>
      <c r="D122" s="11">
        <v>0</v>
      </c>
      <c r="E122" s="11"/>
      <c r="F122" s="11">
        <v>0</v>
      </c>
      <c r="G122" s="11"/>
      <c r="H122" s="11">
        <f>B122+D122-F122</f>
        <v>43759</v>
      </c>
      <c r="J122" s="3">
        <v>43759</v>
      </c>
      <c r="K122" s="5">
        <f t="shared" si="5"/>
        <v>0</v>
      </c>
      <c r="L122" s="38" t="s">
        <v>384</v>
      </c>
    </row>
    <row r="123" spans="1:31" x14ac:dyDescent="0.2">
      <c r="A123" s="11" t="s">
        <v>283</v>
      </c>
      <c r="B123" s="11">
        <v>30000</v>
      </c>
      <c r="C123" s="11"/>
      <c r="D123" s="11">
        <v>0</v>
      </c>
      <c r="E123" s="11"/>
      <c r="F123" s="11">
        <v>25657</v>
      </c>
      <c r="G123" s="11"/>
      <c r="H123" s="11">
        <f>B123+D123-F123</f>
        <v>4343</v>
      </c>
      <c r="J123" s="3">
        <v>4343</v>
      </c>
      <c r="K123" s="5">
        <f t="shared" si="5"/>
        <v>0</v>
      </c>
      <c r="L123" s="38" t="s">
        <v>284</v>
      </c>
    </row>
    <row r="124" spans="1:31" x14ac:dyDescent="0.2">
      <c r="A124" s="11" t="s">
        <v>26</v>
      </c>
      <c r="B124" s="11">
        <v>259353</v>
      </c>
      <c r="C124" s="11"/>
      <c r="D124" s="11">
        <v>0</v>
      </c>
      <c r="E124" s="11"/>
      <c r="F124" s="11">
        <v>13758</v>
      </c>
      <c r="G124" s="11"/>
      <c r="H124" s="11">
        <f t="shared" ref="H124:H130" si="8">+B124+D124-F124</f>
        <v>245595</v>
      </c>
      <c r="J124" s="3">
        <f>106457.85+13895+125000+242.6</f>
        <v>245595.45</v>
      </c>
      <c r="K124" s="5">
        <f t="shared" si="5"/>
        <v>0.45000000001164153</v>
      </c>
      <c r="L124" s="38" t="s">
        <v>385</v>
      </c>
      <c r="M124" s="38" t="s">
        <v>386</v>
      </c>
      <c r="N124" s="46" t="s">
        <v>299</v>
      </c>
      <c r="O124" s="37" t="s">
        <v>482</v>
      </c>
    </row>
    <row r="125" spans="1:31" x14ac:dyDescent="0.2">
      <c r="A125" s="11" t="s">
        <v>97</v>
      </c>
      <c r="B125" s="11">
        <v>44566</v>
      </c>
      <c r="C125" s="11"/>
      <c r="D125" s="11">
        <v>0</v>
      </c>
      <c r="E125" s="11"/>
      <c r="F125" s="11">
        <v>0</v>
      </c>
      <c r="G125" s="11"/>
      <c r="H125" s="11">
        <f t="shared" si="8"/>
        <v>44566</v>
      </c>
      <c r="J125" s="3">
        <v>44565.7</v>
      </c>
      <c r="K125" s="5">
        <f t="shared" si="5"/>
        <v>-0.30000000000291038</v>
      </c>
      <c r="L125" s="38" t="s">
        <v>387</v>
      </c>
    </row>
    <row r="126" spans="1:31" x14ac:dyDescent="0.2">
      <c r="A126" s="11" t="s">
        <v>27</v>
      </c>
      <c r="B126" s="11">
        <v>226416</v>
      </c>
      <c r="C126" s="11"/>
      <c r="D126" s="11">
        <f>165000+355000+61416-75000-14787-9853-36776+34730</f>
        <v>479730</v>
      </c>
      <c r="E126" s="11"/>
      <c r="F126" s="11">
        <v>34730</v>
      </c>
      <c r="G126" s="11"/>
      <c r="H126" s="11">
        <f t="shared" si="8"/>
        <v>671416</v>
      </c>
      <c r="J126" s="3">
        <f>151415.79+355000+165000+0</f>
        <v>671415.79</v>
      </c>
      <c r="K126" s="5">
        <f t="shared" si="5"/>
        <v>-0.2099999999627471</v>
      </c>
      <c r="L126" s="40" t="s">
        <v>388</v>
      </c>
      <c r="M126" s="40" t="s">
        <v>389</v>
      </c>
      <c r="N126" s="38" t="s">
        <v>390</v>
      </c>
      <c r="O126" s="38" t="s">
        <v>391</v>
      </c>
      <c r="P126" s="40" t="s">
        <v>298</v>
      </c>
      <c r="Q126" s="37">
        <v>720</v>
      </c>
      <c r="R126" s="37">
        <v>722</v>
      </c>
      <c r="S126" s="37">
        <v>602</v>
      </c>
      <c r="Y126" s="3"/>
      <c r="Z126" s="3"/>
      <c r="AC126" s="16"/>
    </row>
    <row r="127" spans="1:31" x14ac:dyDescent="0.2">
      <c r="A127" s="11" t="s">
        <v>483</v>
      </c>
      <c r="B127" s="11">
        <v>0</v>
      </c>
      <c r="C127" s="11"/>
      <c r="D127" s="11">
        <f>75000+55000</f>
        <v>130000</v>
      </c>
      <c r="E127" s="11"/>
      <c r="F127" s="11">
        <v>0</v>
      </c>
      <c r="G127" s="11"/>
      <c r="H127" s="11">
        <f t="shared" si="8"/>
        <v>130000</v>
      </c>
      <c r="J127" s="3">
        <f>75000+55000</f>
        <v>130000</v>
      </c>
      <c r="K127" s="5">
        <f t="shared" si="5"/>
        <v>0</v>
      </c>
      <c r="L127" s="55" t="s">
        <v>484</v>
      </c>
      <c r="M127" s="55">
        <v>723</v>
      </c>
      <c r="N127" s="4"/>
      <c r="O127" s="4"/>
      <c r="P127" s="44"/>
      <c r="Q127" s="55"/>
      <c r="R127" s="55"/>
      <c r="S127" s="55"/>
      <c r="T127" s="55"/>
      <c r="U127" s="55"/>
      <c r="V127" s="55"/>
      <c r="W127" s="55"/>
      <c r="X127" s="55"/>
      <c r="Y127" s="55"/>
      <c r="Z127" s="3"/>
      <c r="AA127" s="3"/>
      <c r="AC127" s="16"/>
      <c r="AD127" s="16"/>
    </row>
    <row r="128" spans="1:31" x14ac:dyDescent="0.2">
      <c r="A128" s="11" t="s">
        <v>28</v>
      </c>
      <c r="B128" s="11">
        <v>127845</v>
      </c>
      <c r="C128" s="11"/>
      <c r="D128" s="11">
        <f>-845-20119</f>
        <v>-20964</v>
      </c>
      <c r="E128" s="11"/>
      <c r="F128" s="11">
        <f>51894+31881</f>
        <v>83775</v>
      </c>
      <c r="G128" s="11"/>
      <c r="H128" s="11">
        <f t="shared" si="8"/>
        <v>23106</v>
      </c>
      <c r="J128" s="3">
        <f>23106.07</f>
        <v>23106.07</v>
      </c>
      <c r="K128" s="5">
        <f t="shared" si="5"/>
        <v>6.9999999999708962E-2</v>
      </c>
      <c r="L128" s="40" t="s">
        <v>303</v>
      </c>
      <c r="M128" s="40" t="s">
        <v>302</v>
      </c>
      <c r="N128" s="38" t="s">
        <v>301</v>
      </c>
      <c r="O128" s="4"/>
      <c r="P128" s="44"/>
      <c r="Z128" s="3"/>
      <c r="AA128" s="3"/>
      <c r="AC128" s="16"/>
      <c r="AD128" s="16"/>
    </row>
    <row r="129" spans="1:31" x14ac:dyDescent="0.2">
      <c r="A129" s="11" t="s">
        <v>91</v>
      </c>
      <c r="B129" s="11">
        <v>93844</v>
      </c>
      <c r="C129" s="11"/>
      <c r="D129" s="11">
        <f>-55000-12790-18295</f>
        <v>-86085</v>
      </c>
      <c r="E129" s="11"/>
      <c r="F129" s="11">
        <v>7759</v>
      </c>
      <c r="G129" s="11"/>
      <c r="H129" s="11">
        <f t="shared" si="8"/>
        <v>0</v>
      </c>
      <c r="J129" s="3">
        <v>0</v>
      </c>
      <c r="K129" s="5">
        <f t="shared" ref="K129:K160" si="9">J129-H129</f>
        <v>0</v>
      </c>
      <c r="L129" s="38" t="s">
        <v>435</v>
      </c>
      <c r="M129" s="38" t="s">
        <v>436</v>
      </c>
      <c r="N129" s="46" t="s">
        <v>437</v>
      </c>
      <c r="Y129" s="16"/>
      <c r="AB129" s="15"/>
    </row>
    <row r="130" spans="1:31" x14ac:dyDescent="0.2">
      <c r="A130" s="11" t="s">
        <v>163</v>
      </c>
      <c r="B130" s="11">
        <v>78707</v>
      </c>
      <c r="C130" s="11"/>
      <c r="D130" s="11">
        <v>20119</v>
      </c>
      <c r="E130" s="11"/>
      <c r="F130" s="11">
        <v>96850</v>
      </c>
      <c r="G130" s="11"/>
      <c r="H130" s="11">
        <f t="shared" si="8"/>
        <v>1976</v>
      </c>
      <c r="J130" s="3">
        <v>1975.64</v>
      </c>
      <c r="K130" s="5">
        <f t="shared" si="9"/>
        <v>-0.35999999999989996</v>
      </c>
      <c r="L130" s="38" t="s">
        <v>410</v>
      </c>
    </row>
    <row r="131" spans="1:31" x14ac:dyDescent="0.2">
      <c r="A131" s="11" t="s">
        <v>29</v>
      </c>
      <c r="B131" s="11">
        <v>6000</v>
      </c>
      <c r="C131" s="11"/>
      <c r="D131" s="11">
        <v>0</v>
      </c>
      <c r="E131" s="11"/>
      <c r="F131" s="11">
        <v>0</v>
      </c>
      <c r="G131" s="11"/>
      <c r="H131" s="11">
        <f t="shared" ref="H131:H145" si="10">+B131+D131-F131</f>
        <v>6000</v>
      </c>
      <c r="J131" s="3">
        <v>6000</v>
      </c>
      <c r="K131" s="5">
        <f t="shared" si="9"/>
        <v>0</v>
      </c>
      <c r="L131" s="38" t="s">
        <v>312</v>
      </c>
    </row>
    <row r="132" spans="1:31" x14ac:dyDescent="0.2">
      <c r="A132" s="11" t="s">
        <v>30</v>
      </c>
      <c r="B132" s="11">
        <v>199316</v>
      </c>
      <c r="C132" s="11"/>
      <c r="D132" s="11">
        <f>-54770+48000</f>
        <v>-6770</v>
      </c>
      <c r="E132" s="11"/>
      <c r="F132" s="11">
        <f>13799+41700</f>
        <v>55499</v>
      </c>
      <c r="G132" s="11"/>
      <c r="H132" s="11">
        <f t="shared" si="10"/>
        <v>137047</v>
      </c>
      <c r="J132" s="3">
        <f>36427.58+82618.14+11701+6300</f>
        <v>137046.72</v>
      </c>
      <c r="K132" s="5">
        <f t="shared" si="9"/>
        <v>-0.27999999999883585</v>
      </c>
      <c r="L132" s="38" t="s">
        <v>407</v>
      </c>
      <c r="M132" s="38" t="s">
        <v>392</v>
      </c>
      <c r="N132" s="38" t="s">
        <v>393</v>
      </c>
      <c r="O132" s="46" t="s">
        <v>287</v>
      </c>
      <c r="P132" s="37" t="s">
        <v>481</v>
      </c>
      <c r="Z132" s="3"/>
      <c r="AC132" s="16"/>
    </row>
    <row r="133" spans="1:31" x14ac:dyDescent="0.2">
      <c r="A133" s="11" t="s">
        <v>501</v>
      </c>
      <c r="B133" s="11">
        <v>0</v>
      </c>
      <c r="C133" s="11"/>
      <c r="D133" s="11">
        <v>29873</v>
      </c>
      <c r="E133" s="11"/>
      <c r="F133" s="11">
        <v>29873</v>
      </c>
      <c r="G133" s="11"/>
      <c r="H133" s="11">
        <f t="shared" si="10"/>
        <v>0</v>
      </c>
      <c r="J133" s="3">
        <v>0</v>
      </c>
      <c r="K133" s="5">
        <f t="shared" si="9"/>
        <v>0</v>
      </c>
      <c r="L133" s="38">
        <v>651</v>
      </c>
      <c r="M133" s="38"/>
      <c r="N133" s="38"/>
      <c r="O133" s="4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3"/>
      <c r="AC133" s="16"/>
    </row>
    <row r="134" spans="1:31" x14ac:dyDescent="0.2">
      <c r="A134" s="11" t="s">
        <v>95</v>
      </c>
      <c r="B134" s="11">
        <v>1025187</v>
      </c>
      <c r="C134" s="11"/>
      <c r="D134" s="11">
        <f>-91000</f>
        <v>-91000</v>
      </c>
      <c r="E134" s="11"/>
      <c r="F134" s="11">
        <v>569267</v>
      </c>
      <c r="G134" s="11"/>
      <c r="H134" s="11">
        <f t="shared" si="10"/>
        <v>364920</v>
      </c>
      <c r="J134" s="3">
        <f>214919.83+150000</f>
        <v>364919.82999999996</v>
      </c>
      <c r="K134" s="5">
        <f t="shared" si="9"/>
        <v>-0.17000000004190952</v>
      </c>
      <c r="L134" s="38" t="s">
        <v>405</v>
      </c>
      <c r="M134" s="38" t="s">
        <v>304</v>
      </c>
    </row>
    <row r="135" spans="1:31" x14ac:dyDescent="0.2">
      <c r="A135" s="11" t="s">
        <v>69</v>
      </c>
      <c r="B135" s="11">
        <v>45785</v>
      </c>
      <c r="C135" s="11"/>
      <c r="D135" s="11">
        <v>-31053</v>
      </c>
      <c r="E135" s="11"/>
      <c r="F135" s="11">
        <v>12768</v>
      </c>
      <c r="G135" s="11"/>
      <c r="H135" s="11">
        <f t="shared" si="10"/>
        <v>1964</v>
      </c>
      <c r="J135" s="3">
        <v>1964</v>
      </c>
      <c r="K135" s="5">
        <f t="shared" si="9"/>
        <v>0</v>
      </c>
      <c r="L135" s="39" t="s">
        <v>408</v>
      </c>
      <c r="M135" s="38" t="s">
        <v>337</v>
      </c>
      <c r="N135" s="4"/>
      <c r="O135" s="44"/>
      <c r="Z135" s="37"/>
      <c r="AC135" s="16"/>
    </row>
    <row r="136" spans="1:31" x14ac:dyDescent="0.2">
      <c r="A136" s="11" t="s">
        <v>36</v>
      </c>
      <c r="B136" s="11">
        <v>43000</v>
      </c>
      <c r="C136" s="11"/>
      <c r="D136" s="11">
        <v>0</v>
      </c>
      <c r="E136" s="11"/>
      <c r="F136" s="11">
        <v>27598</v>
      </c>
      <c r="G136" s="11"/>
      <c r="H136" s="11">
        <f t="shared" si="10"/>
        <v>15402</v>
      </c>
      <c r="J136" s="3">
        <v>15402</v>
      </c>
      <c r="K136" s="5">
        <f t="shared" si="9"/>
        <v>0</v>
      </c>
      <c r="L136" s="38" t="s">
        <v>286</v>
      </c>
    </row>
    <row r="137" spans="1:31" x14ac:dyDescent="0.2">
      <c r="A137" s="11" t="s">
        <v>502</v>
      </c>
      <c r="B137" s="11">
        <v>0</v>
      </c>
      <c r="C137" s="11"/>
      <c r="D137" s="11">
        <v>12683</v>
      </c>
      <c r="E137" s="11"/>
      <c r="F137" s="11">
        <v>12683</v>
      </c>
      <c r="G137" s="11"/>
      <c r="H137" s="11">
        <f t="shared" si="10"/>
        <v>0</v>
      </c>
      <c r="J137" s="3">
        <v>0</v>
      </c>
      <c r="K137" s="5">
        <f t="shared" si="9"/>
        <v>0</v>
      </c>
      <c r="L137" s="38">
        <v>652</v>
      </c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</row>
    <row r="138" spans="1:31" x14ac:dyDescent="0.2">
      <c r="A138" s="11" t="s">
        <v>94</v>
      </c>
      <c r="B138" s="11">
        <v>7594</v>
      </c>
      <c r="C138" s="11"/>
      <c r="D138" s="11">
        <v>0</v>
      </c>
      <c r="E138" s="11"/>
      <c r="F138" s="11">
        <v>0</v>
      </c>
      <c r="G138" s="11"/>
      <c r="H138" s="11">
        <f t="shared" si="10"/>
        <v>7594</v>
      </c>
      <c r="J138" s="20">
        <v>7594.36</v>
      </c>
      <c r="K138" s="5">
        <f t="shared" si="9"/>
        <v>0.35999999999967258</v>
      </c>
      <c r="L138" s="38" t="s">
        <v>394</v>
      </c>
    </row>
    <row r="139" spans="1:31" x14ac:dyDescent="0.2">
      <c r="A139" s="11" t="s">
        <v>43</v>
      </c>
      <c r="B139" s="11">
        <v>37565</v>
      </c>
      <c r="C139" s="11"/>
      <c r="D139" s="11">
        <v>75000</v>
      </c>
      <c r="E139" s="11"/>
      <c r="F139" s="11">
        <v>0</v>
      </c>
      <c r="G139" s="11"/>
      <c r="H139" s="11">
        <f t="shared" si="10"/>
        <v>112565</v>
      </c>
      <c r="J139" s="3">
        <f>76014.61+20790.04+15760.02</f>
        <v>112564.67</v>
      </c>
      <c r="K139" s="5">
        <f t="shared" si="9"/>
        <v>-0.33000000000174623</v>
      </c>
      <c r="L139" s="38" t="s">
        <v>412</v>
      </c>
      <c r="M139" s="38" t="s">
        <v>413</v>
      </c>
      <c r="N139" s="46" t="s">
        <v>300</v>
      </c>
    </row>
    <row r="140" spans="1:31" x14ac:dyDescent="0.2">
      <c r="A140" s="11" t="s">
        <v>63</v>
      </c>
      <c r="B140" s="11">
        <v>2783794</v>
      </c>
      <c r="C140" s="11"/>
      <c r="D140" s="11">
        <f>-863245-109867+2367-517+54770</f>
        <v>-916492</v>
      </c>
      <c r="E140" s="11"/>
      <c r="F140" s="11">
        <f>2692+11004</f>
        <v>13696</v>
      </c>
      <c r="G140" s="11"/>
      <c r="H140" s="11">
        <f t="shared" si="10"/>
        <v>1853606</v>
      </c>
      <c r="J140" s="3">
        <f>1537435.39+39201.7+26551.11+62033.84+39692+15997.01+17193+6553.2+54179+54770</f>
        <v>1853606.25</v>
      </c>
      <c r="K140" s="5">
        <f t="shared" si="9"/>
        <v>0.25</v>
      </c>
      <c r="L140" s="38" t="s">
        <v>422</v>
      </c>
      <c r="M140" s="46" t="s">
        <v>416</v>
      </c>
      <c r="N140" s="40" t="s">
        <v>417</v>
      </c>
      <c r="O140" s="40" t="s">
        <v>418</v>
      </c>
      <c r="P140" s="40" t="s">
        <v>419</v>
      </c>
      <c r="Q140" s="40" t="s">
        <v>420</v>
      </c>
      <c r="R140" s="40" t="s">
        <v>421</v>
      </c>
      <c r="S140" s="37">
        <v>719</v>
      </c>
      <c r="X140" s="16"/>
      <c r="Y140" s="16"/>
      <c r="AA140" s="15"/>
      <c r="AB140" s="15"/>
    </row>
    <row r="141" spans="1:31" x14ac:dyDescent="0.2">
      <c r="A141" s="11" t="s">
        <v>164</v>
      </c>
      <c r="B141" s="11">
        <v>100266</v>
      </c>
      <c r="C141" s="11"/>
      <c r="D141" s="11">
        <f>-21785-1</f>
        <v>-21786</v>
      </c>
      <c r="E141" s="11"/>
      <c r="F141" s="11">
        <f>3481+12663</f>
        <v>16144</v>
      </c>
      <c r="G141" s="11"/>
      <c r="H141" s="11">
        <f t="shared" si="10"/>
        <v>62336</v>
      </c>
      <c r="J141" s="3">
        <v>62336.59</v>
      </c>
      <c r="K141" s="5">
        <f t="shared" si="9"/>
        <v>0.58999999999650754</v>
      </c>
      <c r="L141" s="38" t="s">
        <v>414</v>
      </c>
      <c r="M141" s="38" t="s">
        <v>415</v>
      </c>
    </row>
    <row r="142" spans="1:31" x14ac:dyDescent="0.2">
      <c r="A142" s="11" t="s">
        <v>153</v>
      </c>
      <c r="B142" s="11">
        <v>213030</v>
      </c>
      <c r="C142" s="11"/>
      <c r="D142" s="11">
        <f>-1500+73+225000+125000+82618</f>
        <v>431191</v>
      </c>
      <c r="E142" s="11"/>
      <c r="F142" s="11">
        <f>77603+2911+27598</f>
        <v>108112</v>
      </c>
      <c r="G142" s="11"/>
      <c r="H142" s="11">
        <f t="shared" si="10"/>
        <v>536109</v>
      </c>
      <c r="J142" s="3">
        <f>66088.84+37402+225000+125000+82618.14</f>
        <v>536108.98</v>
      </c>
      <c r="K142" s="5">
        <f t="shared" si="9"/>
        <v>-2.0000000018626451E-2</v>
      </c>
      <c r="L142" s="39" t="s">
        <v>409</v>
      </c>
      <c r="M142" s="40" t="s">
        <v>305</v>
      </c>
      <c r="N142" s="40" t="s">
        <v>295</v>
      </c>
      <c r="O142" s="38" t="s">
        <v>285</v>
      </c>
      <c r="P142" s="4" t="s">
        <v>485</v>
      </c>
      <c r="Q142" s="44">
        <v>721</v>
      </c>
      <c r="Z142" s="37"/>
      <c r="AA142" s="3"/>
      <c r="AB142" s="3"/>
      <c r="AC142" s="16"/>
      <c r="AD142" s="16"/>
      <c r="AE142" s="16"/>
    </row>
    <row r="143" spans="1:31" x14ac:dyDescent="0.2">
      <c r="A143" s="11" t="s">
        <v>100</v>
      </c>
      <c r="B143" s="11">
        <v>92396</v>
      </c>
      <c r="C143" s="11"/>
      <c r="D143" s="11">
        <v>35000</v>
      </c>
      <c r="E143" s="11"/>
      <c r="F143" s="11">
        <v>81947</v>
      </c>
      <c r="G143" s="11"/>
      <c r="H143" s="11">
        <f t="shared" si="10"/>
        <v>45449</v>
      </c>
      <c r="J143" s="3">
        <f>6928+27396.5+11125</f>
        <v>45449.5</v>
      </c>
      <c r="K143" s="5">
        <f t="shared" si="9"/>
        <v>0.5</v>
      </c>
      <c r="L143" s="40" t="s">
        <v>307</v>
      </c>
      <c r="M143" s="38" t="s">
        <v>306</v>
      </c>
      <c r="N143" s="4">
        <v>656</v>
      </c>
      <c r="O143" s="44"/>
      <c r="Z143" s="3"/>
      <c r="AC143" s="16"/>
    </row>
    <row r="144" spans="1:31" x14ac:dyDescent="0.2">
      <c r="A144" s="11" t="s">
        <v>498</v>
      </c>
      <c r="B144" s="11">
        <v>0</v>
      </c>
      <c r="C144" s="11"/>
      <c r="D144" s="11">
        <v>300000</v>
      </c>
      <c r="E144" s="11"/>
      <c r="F144" s="11">
        <v>300000</v>
      </c>
      <c r="G144" s="11"/>
      <c r="H144" s="11">
        <f t="shared" si="10"/>
        <v>0</v>
      </c>
      <c r="J144" s="3">
        <v>0</v>
      </c>
      <c r="K144" s="5">
        <f t="shared" si="9"/>
        <v>0</v>
      </c>
      <c r="L144" s="40">
        <v>678</v>
      </c>
      <c r="M144" s="38"/>
      <c r="N144" s="4"/>
      <c r="O144" s="44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3"/>
      <c r="AC144" s="16"/>
    </row>
    <row r="145" spans="1:35" x14ac:dyDescent="0.2">
      <c r="A145" s="11" t="s">
        <v>31</v>
      </c>
      <c r="B145" s="11">
        <v>1640023</v>
      </c>
      <c r="C145" s="11"/>
      <c r="D145" s="11">
        <f>-111227</f>
        <v>-111227</v>
      </c>
      <c r="E145" s="11"/>
      <c r="F145" s="11">
        <v>75404</v>
      </c>
      <c r="G145" s="11"/>
      <c r="H145" s="11">
        <f t="shared" si="10"/>
        <v>1453392</v>
      </c>
      <c r="J145" s="3">
        <f>400000+1053391.67</f>
        <v>1453391.67</v>
      </c>
      <c r="K145" s="5">
        <f t="shared" si="9"/>
        <v>-0.33000000007450581</v>
      </c>
      <c r="L145" s="38" t="s">
        <v>438</v>
      </c>
      <c r="M145" s="38" t="s">
        <v>291</v>
      </c>
    </row>
    <row r="146" spans="1:35" x14ac:dyDescent="0.2">
      <c r="A146" s="11" t="s">
        <v>92</v>
      </c>
      <c r="B146" s="11">
        <v>4754684</v>
      </c>
      <c r="C146" s="11"/>
      <c r="D146" s="11">
        <v>0</v>
      </c>
      <c r="E146" s="11"/>
      <c r="F146" s="11">
        <v>913644</v>
      </c>
      <c r="G146" s="11"/>
      <c r="H146" s="11">
        <f>+B146+D146-F146</f>
        <v>3841040</v>
      </c>
      <c r="J146" s="3">
        <v>3841039.53</v>
      </c>
      <c r="K146" s="5">
        <f t="shared" si="9"/>
        <v>-0.47000000020489097</v>
      </c>
      <c r="L146" s="40" t="s">
        <v>404</v>
      </c>
      <c r="M146" s="40" t="s">
        <v>477</v>
      </c>
      <c r="N146" s="40" t="s">
        <v>333</v>
      </c>
      <c r="O146" s="40" t="s">
        <v>332</v>
      </c>
      <c r="P146" s="40" t="s">
        <v>329</v>
      </c>
      <c r="Q146" s="40" t="s">
        <v>326</v>
      </c>
      <c r="R146" s="40" t="s">
        <v>308</v>
      </c>
      <c r="S146" s="40" t="s">
        <v>297</v>
      </c>
      <c r="T146" s="40" t="s">
        <v>478</v>
      </c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41"/>
      <c r="AG146" s="16"/>
      <c r="AH146" s="16"/>
      <c r="AI146" s="16"/>
    </row>
    <row r="147" spans="1:35" x14ac:dyDescent="0.2">
      <c r="A147" s="11" t="s">
        <v>479</v>
      </c>
      <c r="B147" s="11">
        <v>211</v>
      </c>
      <c r="C147" s="11"/>
      <c r="D147" s="11">
        <v>0</v>
      </c>
      <c r="E147" s="11"/>
      <c r="F147" s="11">
        <v>0</v>
      </c>
      <c r="G147" s="11"/>
      <c r="H147" s="11">
        <f>+B147+D147-F147</f>
        <v>211</v>
      </c>
      <c r="J147" s="3">
        <v>210.85</v>
      </c>
      <c r="K147" s="5">
        <f>J147-H147</f>
        <v>-0.15000000000000568</v>
      </c>
      <c r="L147" s="38" t="s">
        <v>406</v>
      </c>
    </row>
    <row r="148" spans="1:35" x14ac:dyDescent="0.2">
      <c r="A148" s="11" t="s">
        <v>62</v>
      </c>
      <c r="B148" s="11"/>
      <c r="C148" s="11"/>
      <c r="D148" s="11"/>
      <c r="E148" s="11"/>
      <c r="F148" s="11"/>
      <c r="G148" s="11"/>
      <c r="H148" s="11"/>
      <c r="K148" s="5">
        <f t="shared" si="9"/>
        <v>0</v>
      </c>
    </row>
    <row r="149" spans="1:35" x14ac:dyDescent="0.2">
      <c r="A149" s="11" t="s">
        <v>101</v>
      </c>
      <c r="B149" s="11">
        <v>216334</v>
      </c>
      <c r="C149" s="11"/>
      <c r="D149" s="11">
        <f>-34672-181662</f>
        <v>-216334</v>
      </c>
      <c r="E149" s="11"/>
      <c r="F149" s="11">
        <v>0</v>
      </c>
      <c r="G149" s="11"/>
      <c r="H149" s="11">
        <f>+B149+D149-F149</f>
        <v>0</v>
      </c>
      <c r="J149" s="3">
        <v>0</v>
      </c>
      <c r="K149" s="5">
        <f t="shared" si="9"/>
        <v>0</v>
      </c>
      <c r="L149" s="38" t="s">
        <v>399</v>
      </c>
      <c r="M149" s="38" t="s">
        <v>400</v>
      </c>
    </row>
    <row r="150" spans="1:35" x14ac:dyDescent="0.2">
      <c r="A150" s="11" t="s">
        <v>115</v>
      </c>
      <c r="B150" s="11">
        <v>52904</v>
      </c>
      <c r="C150" s="11"/>
      <c r="D150" s="11">
        <v>-52904</v>
      </c>
      <c r="E150" s="11"/>
      <c r="F150" s="11">
        <v>0</v>
      </c>
      <c r="G150" s="11"/>
      <c r="H150" s="11">
        <f>+B150+D150-F150</f>
        <v>0</v>
      </c>
      <c r="J150" s="3">
        <v>0</v>
      </c>
      <c r="K150" s="5">
        <f t="shared" si="9"/>
        <v>0</v>
      </c>
      <c r="L150" s="38" t="s">
        <v>398</v>
      </c>
    </row>
    <row r="151" spans="1:35" x14ac:dyDescent="0.2">
      <c r="A151" s="11" t="s">
        <v>102</v>
      </c>
      <c r="B151" s="11">
        <v>10702</v>
      </c>
      <c r="C151" s="11"/>
      <c r="D151" s="11">
        <f>-500-1557+1</f>
        <v>-2056</v>
      </c>
      <c r="E151" s="11"/>
      <c r="F151" s="11">
        <v>4911</v>
      </c>
      <c r="G151" s="11"/>
      <c r="H151" s="11">
        <f>+B151+D151-F151</f>
        <v>3735</v>
      </c>
      <c r="J151" s="3">
        <v>3734.63</v>
      </c>
      <c r="K151" s="5">
        <f t="shared" si="9"/>
        <v>-0.36999999999989086</v>
      </c>
      <c r="L151" s="38" t="s">
        <v>397</v>
      </c>
      <c r="M151" s="38" t="s">
        <v>296</v>
      </c>
    </row>
    <row r="152" spans="1:35" x14ac:dyDescent="0.2">
      <c r="A152" s="11" t="s">
        <v>33</v>
      </c>
      <c r="B152" s="11">
        <v>1600786</v>
      </c>
      <c r="C152" s="11"/>
      <c r="D152" s="11">
        <v>69508</v>
      </c>
      <c r="E152" s="11"/>
      <c r="F152" s="11">
        <v>328266</v>
      </c>
      <c r="G152" s="11"/>
      <c r="H152" s="11">
        <f>+B152+D152-F152</f>
        <v>1342028</v>
      </c>
      <c r="J152" s="3">
        <v>1342027.6100000001</v>
      </c>
      <c r="K152" s="5">
        <f t="shared" si="9"/>
        <v>-0.38999999989755452</v>
      </c>
      <c r="L152" s="40" t="s">
        <v>440</v>
      </c>
      <c r="M152" s="40" t="s">
        <v>441</v>
      </c>
      <c r="N152" s="40" t="s">
        <v>442</v>
      </c>
      <c r="O152" s="40" t="s">
        <v>443</v>
      </c>
      <c r="P152" s="38" t="s">
        <v>444</v>
      </c>
      <c r="Q152" s="38" t="s">
        <v>445</v>
      </c>
      <c r="R152" s="46" t="s">
        <v>446</v>
      </c>
      <c r="S152" s="40" t="s">
        <v>447</v>
      </c>
      <c r="T152" s="40" t="s">
        <v>448</v>
      </c>
      <c r="U152" s="40" t="s">
        <v>449</v>
      </c>
      <c r="V152" s="53" t="s">
        <v>450</v>
      </c>
      <c r="W152" s="40" t="s">
        <v>451</v>
      </c>
      <c r="X152" s="40" t="s">
        <v>330</v>
      </c>
      <c r="Y152" s="40" t="s">
        <v>452</v>
      </c>
      <c r="Z152" s="49" t="s">
        <v>292</v>
      </c>
      <c r="AA152" s="49" t="s">
        <v>288</v>
      </c>
      <c r="AB152" s="3"/>
      <c r="AC152" s="3"/>
      <c r="AD152" s="16"/>
      <c r="AE152" s="16"/>
      <c r="AF152" s="16"/>
    </row>
    <row r="153" spans="1:35" x14ac:dyDescent="0.2">
      <c r="A153" s="11" t="s">
        <v>42</v>
      </c>
      <c r="B153" s="11">
        <v>81607</v>
      </c>
      <c r="C153" s="11"/>
      <c r="D153" s="11">
        <v>-32849</v>
      </c>
      <c r="E153" s="11"/>
      <c r="F153" s="11">
        <v>0</v>
      </c>
      <c r="G153" s="11"/>
      <c r="H153" s="11">
        <f>+B153+D153-F153</f>
        <v>48758</v>
      </c>
      <c r="J153" s="3">
        <v>48757.81</v>
      </c>
      <c r="K153" s="5">
        <f t="shared" si="9"/>
        <v>-0.19000000000232831</v>
      </c>
      <c r="L153" s="38" t="s">
        <v>396</v>
      </c>
    </row>
    <row r="154" spans="1:35" x14ac:dyDescent="0.2">
      <c r="A154" s="11" t="s">
        <v>74</v>
      </c>
      <c r="B154" s="11"/>
      <c r="C154" s="11"/>
      <c r="D154" s="11"/>
      <c r="E154" s="11"/>
      <c r="F154" s="11"/>
      <c r="G154" s="11"/>
      <c r="H154" s="11"/>
      <c r="K154" s="5">
        <f t="shared" si="9"/>
        <v>0</v>
      </c>
    </row>
    <row r="155" spans="1:35" x14ac:dyDescent="0.2">
      <c r="A155" s="11" t="s">
        <v>24</v>
      </c>
      <c r="B155" s="11">
        <v>364646</v>
      </c>
      <c r="C155" s="11"/>
      <c r="D155" s="11">
        <v>0</v>
      </c>
      <c r="E155" s="11"/>
      <c r="F155" s="11">
        <v>0</v>
      </c>
      <c r="G155" s="11"/>
      <c r="H155" s="11">
        <f>+B155+D155-F155</f>
        <v>364646</v>
      </c>
      <c r="J155" s="3">
        <v>364646.31</v>
      </c>
      <c r="K155" s="5">
        <f t="shared" si="9"/>
        <v>0.30999999999767169</v>
      </c>
      <c r="L155" s="38" t="s">
        <v>455</v>
      </c>
    </row>
    <row r="156" spans="1:35" x14ac:dyDescent="0.2">
      <c r="A156" s="11" t="s">
        <v>77</v>
      </c>
      <c r="B156" s="11">
        <f>320042+28798</f>
        <v>348840</v>
      </c>
      <c r="C156" s="11"/>
      <c r="D156" s="11">
        <v>0</v>
      </c>
      <c r="E156" s="11"/>
      <c r="F156" s="11">
        <v>23305</v>
      </c>
      <c r="G156" s="11"/>
      <c r="H156" s="11">
        <f>+B156+D156-F156</f>
        <v>325535</v>
      </c>
      <c r="J156" s="3">
        <f>325534.8+0</f>
        <v>325534.8</v>
      </c>
      <c r="K156" s="5">
        <f t="shared" si="9"/>
        <v>-0.20000000001164153</v>
      </c>
      <c r="L156" s="38" t="s">
        <v>456</v>
      </c>
      <c r="M156" s="4">
        <v>700</v>
      </c>
    </row>
    <row r="157" spans="1:35" x14ac:dyDescent="0.2">
      <c r="A157" s="11" t="s">
        <v>76</v>
      </c>
      <c r="B157" s="11">
        <v>133421</v>
      </c>
      <c r="C157" s="11"/>
      <c r="D157" s="11">
        <v>0</v>
      </c>
      <c r="E157" s="11"/>
      <c r="F157" s="11">
        <v>3406</v>
      </c>
      <c r="G157" s="11"/>
      <c r="H157" s="11">
        <f>+B157+D157-F157</f>
        <v>130015</v>
      </c>
      <c r="J157" s="3">
        <v>130015</v>
      </c>
      <c r="K157" s="5">
        <f t="shared" si="9"/>
        <v>0</v>
      </c>
      <c r="L157" s="38" t="s">
        <v>439</v>
      </c>
    </row>
    <row r="158" spans="1:35" x14ac:dyDescent="0.2">
      <c r="A158" s="11" t="s">
        <v>93</v>
      </c>
      <c r="B158" s="11">
        <v>443505</v>
      </c>
      <c r="C158" s="11"/>
      <c r="D158" s="11">
        <v>0</v>
      </c>
      <c r="E158" s="11"/>
      <c r="F158" s="11">
        <v>0</v>
      </c>
      <c r="G158" s="11"/>
      <c r="H158" s="11">
        <f>+B158+D158-F158</f>
        <v>443505</v>
      </c>
      <c r="J158" s="3">
        <v>443504.46</v>
      </c>
      <c r="K158" s="5">
        <f t="shared" si="9"/>
        <v>-0.53999999997904524</v>
      </c>
      <c r="L158" s="38" t="s">
        <v>453</v>
      </c>
    </row>
    <row r="159" spans="1:35" x14ac:dyDescent="0.2">
      <c r="A159" s="11" t="s">
        <v>78</v>
      </c>
      <c r="B159" s="11">
        <v>43366</v>
      </c>
      <c r="C159" s="11"/>
      <c r="D159" s="11">
        <v>0</v>
      </c>
      <c r="E159" s="11"/>
      <c r="F159" s="11">
        <v>0</v>
      </c>
      <c r="G159" s="11"/>
      <c r="H159" s="11">
        <f>+B159+D159-F159</f>
        <v>43366</v>
      </c>
      <c r="J159" s="3">
        <f>18365.69+25000</f>
        <v>43365.69</v>
      </c>
      <c r="K159" s="5">
        <f t="shared" si="9"/>
        <v>-0.30999999999767169</v>
      </c>
      <c r="L159" s="38" t="s">
        <v>454</v>
      </c>
      <c r="M159" s="38" t="s">
        <v>480</v>
      </c>
    </row>
    <row r="160" spans="1:35" x14ac:dyDescent="0.2">
      <c r="A160" s="11" t="s">
        <v>34</v>
      </c>
      <c r="B160" s="11"/>
      <c r="C160" s="11"/>
      <c r="D160" s="11"/>
      <c r="E160" s="11"/>
      <c r="F160" s="11"/>
      <c r="G160" s="11"/>
      <c r="H160" s="11"/>
      <c r="K160" s="5">
        <f t="shared" si="9"/>
        <v>0</v>
      </c>
    </row>
    <row r="161" spans="1:28" x14ac:dyDescent="0.2">
      <c r="A161" s="11" t="s">
        <v>32</v>
      </c>
      <c r="B161" s="11">
        <v>953521</v>
      </c>
      <c r="C161" s="11"/>
      <c r="D161" s="11">
        <v>300000</v>
      </c>
      <c r="E161" s="11"/>
      <c r="F161" s="11">
        <v>91297</v>
      </c>
      <c r="G161" s="11"/>
      <c r="H161" s="11">
        <f t="shared" ref="H161:H167" si="11">+B161+D161-F161</f>
        <v>1162224</v>
      </c>
      <c r="J161" s="3">
        <v>1162223.69</v>
      </c>
      <c r="K161" s="5">
        <f t="shared" ref="K161:K168" si="12">J161-H161</f>
        <v>-0.31000000005587935</v>
      </c>
      <c r="L161" s="38" t="s">
        <v>205</v>
      </c>
    </row>
    <row r="162" spans="1:28" x14ac:dyDescent="0.2">
      <c r="A162" s="11" t="s">
        <v>13</v>
      </c>
      <c r="B162" s="11">
        <v>242191</v>
      </c>
      <c r="C162" s="11"/>
      <c r="D162" s="11">
        <f>100000+100000+100000+120000</f>
        <v>420000</v>
      </c>
      <c r="E162" s="11"/>
      <c r="F162" s="11">
        <f>49234+39467+41981</f>
        <v>130682</v>
      </c>
      <c r="G162" s="11"/>
      <c r="H162" s="11">
        <f t="shared" si="11"/>
        <v>531509</v>
      </c>
      <c r="J162" s="3">
        <f>11129.13+117684.29+7221.26+4480.3+125319.93+133023.46+13823.11+118827.43</f>
        <v>531508.90999999992</v>
      </c>
      <c r="K162" s="5">
        <f t="shared" si="12"/>
        <v>-9.0000000083819032E-2</v>
      </c>
      <c r="L162" s="40" t="s">
        <v>342</v>
      </c>
      <c r="M162" s="40" t="s">
        <v>486</v>
      </c>
      <c r="N162" s="40" t="s">
        <v>401</v>
      </c>
      <c r="O162" s="40" t="s">
        <v>402</v>
      </c>
      <c r="U162" s="3"/>
      <c r="V162" s="3"/>
      <c r="W162" s="16"/>
      <c r="X162" s="16"/>
      <c r="Y162" s="16"/>
      <c r="Z162" s="15"/>
      <c r="AA162" s="15"/>
      <c r="AB162" s="15"/>
    </row>
    <row r="163" spans="1:28" x14ac:dyDescent="0.2">
      <c r="A163" s="11" t="s">
        <v>211</v>
      </c>
      <c r="B163" s="11">
        <v>1297935</v>
      </c>
      <c r="C163" s="11"/>
      <c r="D163" s="11">
        <v>500000</v>
      </c>
      <c r="E163" s="11"/>
      <c r="F163" s="11">
        <v>281085</v>
      </c>
      <c r="G163" s="11"/>
      <c r="H163" s="11">
        <f t="shared" si="11"/>
        <v>1516850</v>
      </c>
      <c r="J163" s="3">
        <v>1516849.93</v>
      </c>
      <c r="K163" s="5">
        <f t="shared" si="12"/>
        <v>-7.000000006519258E-2</v>
      </c>
      <c r="L163" s="38" t="s">
        <v>212</v>
      </c>
    </row>
    <row r="164" spans="1:28" x14ac:dyDescent="0.2">
      <c r="A164" s="11" t="s">
        <v>35</v>
      </c>
      <c r="B164" s="11">
        <f>85068+3467</f>
        <v>88535</v>
      </c>
      <c r="C164" s="11"/>
      <c r="D164" s="11">
        <v>50000</v>
      </c>
      <c r="E164" s="11"/>
      <c r="F164" s="11">
        <v>0</v>
      </c>
      <c r="G164" s="11"/>
      <c r="H164" s="11">
        <f t="shared" si="11"/>
        <v>138535</v>
      </c>
      <c r="J164" s="3">
        <v>138535.49</v>
      </c>
      <c r="K164" s="5">
        <f t="shared" si="12"/>
        <v>0.48999999999068677</v>
      </c>
      <c r="L164" s="59" t="s">
        <v>341</v>
      </c>
    </row>
    <row r="165" spans="1:28" x14ac:dyDescent="0.2">
      <c r="A165" s="11" t="s">
        <v>103</v>
      </c>
      <c r="B165" s="11">
        <v>51625</v>
      </c>
      <c r="C165" s="11"/>
      <c r="D165" s="11">
        <v>50000</v>
      </c>
      <c r="E165" s="11"/>
      <c r="F165" s="11">
        <v>0</v>
      </c>
      <c r="G165" s="11"/>
      <c r="H165" s="11">
        <f t="shared" si="11"/>
        <v>101625</v>
      </c>
      <c r="J165" s="3">
        <v>101624.9</v>
      </c>
      <c r="K165" s="5">
        <f t="shared" si="12"/>
        <v>-0.10000000000582077</v>
      </c>
      <c r="L165" s="38" t="s">
        <v>210</v>
      </c>
    </row>
    <row r="166" spans="1:28" x14ac:dyDescent="0.2">
      <c r="A166" s="11" t="s">
        <v>183</v>
      </c>
      <c r="B166" s="11">
        <v>8912</v>
      </c>
      <c r="C166" s="11"/>
      <c r="D166" s="11">
        <v>-8912</v>
      </c>
      <c r="E166" s="11"/>
      <c r="F166" s="11">
        <v>0</v>
      </c>
      <c r="G166" s="11"/>
      <c r="H166" s="11">
        <f t="shared" si="11"/>
        <v>0</v>
      </c>
      <c r="J166" s="3">
        <v>0</v>
      </c>
      <c r="K166" s="5">
        <f t="shared" si="12"/>
        <v>0</v>
      </c>
      <c r="L166" s="38" t="s">
        <v>334</v>
      </c>
    </row>
    <row r="167" spans="1:28" x14ac:dyDescent="0.2">
      <c r="A167" s="11" t="s">
        <v>491</v>
      </c>
      <c r="B167" s="11">
        <v>0</v>
      </c>
      <c r="C167" s="11"/>
      <c r="D167" s="11">
        <v>540000</v>
      </c>
      <c r="E167" s="11"/>
      <c r="F167" s="11">
        <v>0</v>
      </c>
      <c r="G167" s="11"/>
      <c r="H167" s="11">
        <f t="shared" si="11"/>
        <v>540000</v>
      </c>
      <c r="J167" s="3">
        <v>540000</v>
      </c>
      <c r="K167" s="5">
        <f t="shared" si="12"/>
        <v>0</v>
      </c>
      <c r="L167" s="38">
        <v>732</v>
      </c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</row>
    <row r="168" spans="1:28" x14ac:dyDescent="0.2">
      <c r="A168" s="11" t="s">
        <v>46</v>
      </c>
      <c r="B168" s="22">
        <f>SUM(B59:B167)</f>
        <v>74255385</v>
      </c>
      <c r="C168" s="11"/>
      <c r="D168" s="22">
        <f>SUM(D59:D167)</f>
        <v>8519369</v>
      </c>
      <c r="E168" s="11"/>
      <c r="F168" s="22">
        <f>SUM(F59:F167)</f>
        <v>20465049</v>
      </c>
      <c r="G168" s="11"/>
      <c r="H168" s="22">
        <f>SUM(H59:H167)</f>
        <v>62309705</v>
      </c>
      <c r="J168" s="54">
        <f>SUM(J59:J167)</f>
        <v>62309705.260000005</v>
      </c>
      <c r="K168" s="5">
        <f t="shared" si="12"/>
        <v>0.26000000536441803</v>
      </c>
    </row>
    <row r="169" spans="1:28" x14ac:dyDescent="0.2">
      <c r="A169" s="11" t="s">
        <v>47</v>
      </c>
      <c r="B169" s="25">
        <f>+B58+B168</f>
        <v>94532342</v>
      </c>
      <c r="C169" s="11"/>
      <c r="D169" s="25">
        <f>+D58+D168</f>
        <v>11670685</v>
      </c>
      <c r="E169" s="11"/>
      <c r="F169" s="25">
        <f>+F58+F168</f>
        <v>22586470</v>
      </c>
      <c r="G169" s="11"/>
      <c r="H169" s="26">
        <f>+B169+D169-F169</f>
        <v>83616557</v>
      </c>
      <c r="J169" s="3">
        <f>J168+J58</f>
        <v>83616557.280000001</v>
      </c>
      <c r="K169" s="5">
        <f>J169-H169</f>
        <v>0.2800000011920929</v>
      </c>
    </row>
    <row r="170" spans="1:28" x14ac:dyDescent="0.2">
      <c r="A170" s="11"/>
      <c r="B170" s="11"/>
      <c r="C170" s="11"/>
      <c r="D170" s="11"/>
      <c r="E170" s="11"/>
      <c r="F170" s="11"/>
      <c r="G170" s="11"/>
      <c r="H170" s="11"/>
    </row>
    <row r="171" spans="1:28" x14ac:dyDescent="0.2">
      <c r="A171" s="11" t="s">
        <v>37</v>
      </c>
      <c r="B171" s="11"/>
      <c r="C171" s="17"/>
      <c r="D171" s="11"/>
      <c r="E171" s="11"/>
      <c r="F171" s="11"/>
      <c r="G171" s="11"/>
      <c r="H171" s="11"/>
    </row>
    <row r="172" spans="1:28" x14ac:dyDescent="0.2">
      <c r="A172" s="11" t="s">
        <v>178</v>
      </c>
      <c r="B172" s="11">
        <v>407285</v>
      </c>
      <c r="C172" s="17"/>
      <c r="D172" s="11">
        <v>0</v>
      </c>
      <c r="E172" s="11"/>
      <c r="F172" s="11">
        <v>407285</v>
      </c>
      <c r="G172" s="11"/>
      <c r="H172" s="11">
        <f t="shared" ref="H172:H180" si="13">+B172+D172-F172</f>
        <v>0</v>
      </c>
      <c r="J172" s="3">
        <v>0</v>
      </c>
      <c r="K172" s="5">
        <f t="shared" ref="K172:K180" si="14">J172-H172</f>
        <v>0</v>
      </c>
      <c r="L172" s="38" t="s">
        <v>395</v>
      </c>
    </row>
    <row r="173" spans="1:28" x14ac:dyDescent="0.2">
      <c r="A173" s="11" t="s">
        <v>65</v>
      </c>
      <c r="B173" s="11">
        <v>2690595</v>
      </c>
      <c r="C173" s="17"/>
      <c r="D173" s="11">
        <v>682485</v>
      </c>
      <c r="E173" s="11"/>
      <c r="F173" s="11">
        <v>0</v>
      </c>
      <c r="G173" s="11"/>
      <c r="H173" s="11">
        <f t="shared" si="13"/>
        <v>3373080</v>
      </c>
      <c r="J173" s="3">
        <f>3370611.29+2468.76</f>
        <v>3373080.05</v>
      </c>
      <c r="K173" s="5">
        <f t="shared" si="14"/>
        <v>4.9999999813735485E-2</v>
      </c>
      <c r="L173" s="38" t="s">
        <v>457</v>
      </c>
      <c r="M173" s="38" t="s">
        <v>458</v>
      </c>
    </row>
    <row r="174" spans="1:28" x14ac:dyDescent="0.2">
      <c r="A174" s="11" t="s">
        <v>156</v>
      </c>
      <c r="B174" s="11">
        <v>20820</v>
      </c>
      <c r="C174" s="17"/>
      <c r="D174" s="11">
        <v>0</v>
      </c>
      <c r="E174" s="11"/>
      <c r="F174" s="11">
        <v>0</v>
      </c>
      <c r="G174" s="11"/>
      <c r="H174" s="11">
        <f t="shared" si="13"/>
        <v>20820</v>
      </c>
      <c r="J174" s="3">
        <v>20820</v>
      </c>
      <c r="K174" s="5">
        <f t="shared" si="14"/>
        <v>0</v>
      </c>
      <c r="L174" s="38" t="s">
        <v>459</v>
      </c>
    </row>
    <row r="175" spans="1:28" x14ac:dyDescent="0.2">
      <c r="A175" s="11" t="s">
        <v>157</v>
      </c>
      <c r="B175" s="11">
        <v>627228</v>
      </c>
      <c r="C175" s="17"/>
      <c r="D175" s="11">
        <v>0</v>
      </c>
      <c r="E175" s="11"/>
      <c r="F175" s="11">
        <v>0</v>
      </c>
      <c r="G175" s="11"/>
      <c r="H175" s="11">
        <f t="shared" si="13"/>
        <v>627228</v>
      </c>
      <c r="J175" s="3">
        <v>627228</v>
      </c>
      <c r="K175" s="5">
        <f t="shared" si="14"/>
        <v>0</v>
      </c>
      <c r="L175" s="21" t="s">
        <v>218</v>
      </c>
    </row>
    <row r="176" spans="1:28" x14ac:dyDescent="0.2">
      <c r="A176" s="11" t="s">
        <v>313</v>
      </c>
      <c r="B176" s="11">
        <v>0</v>
      </c>
      <c r="C176" s="17"/>
      <c r="D176" s="11">
        <v>0</v>
      </c>
      <c r="E176" s="11"/>
      <c r="F176" s="11">
        <v>942</v>
      </c>
      <c r="G176" s="11"/>
      <c r="H176" s="11">
        <f t="shared" si="13"/>
        <v>-942</v>
      </c>
      <c r="J176" s="3">
        <v>-941.5</v>
      </c>
      <c r="K176" s="5">
        <f t="shared" si="14"/>
        <v>0.5</v>
      </c>
      <c r="L176" s="21" t="s">
        <v>314</v>
      </c>
    </row>
    <row r="177" spans="1:29" x14ac:dyDescent="0.2">
      <c r="A177" s="11" t="s">
        <v>158</v>
      </c>
      <c r="B177" s="11">
        <v>1471314</v>
      </c>
      <c r="C177" s="17"/>
      <c r="D177" s="11">
        <v>0</v>
      </c>
      <c r="E177" s="11"/>
      <c r="F177" s="11">
        <v>1290179</v>
      </c>
      <c r="G177" s="11"/>
      <c r="H177" s="11">
        <f t="shared" si="13"/>
        <v>181135</v>
      </c>
      <c r="J177" s="3">
        <v>181134.52</v>
      </c>
      <c r="K177" s="5">
        <f t="shared" si="14"/>
        <v>-0.48000000001047738</v>
      </c>
      <c r="L177" s="21" t="s">
        <v>217</v>
      </c>
    </row>
    <row r="178" spans="1:29" x14ac:dyDescent="0.2">
      <c r="A178" s="11" t="s">
        <v>497</v>
      </c>
      <c r="B178" s="11">
        <v>0</v>
      </c>
      <c r="C178" s="17"/>
      <c r="D178" s="11">
        <v>249560</v>
      </c>
      <c r="E178" s="11"/>
      <c r="F178" s="11">
        <v>184215</v>
      </c>
      <c r="G178" s="11"/>
      <c r="H178" s="11">
        <f t="shared" si="13"/>
        <v>65345</v>
      </c>
      <c r="J178" s="3">
        <v>65345.26</v>
      </c>
      <c r="K178" s="5">
        <f t="shared" si="14"/>
        <v>0.26000000000203727</v>
      </c>
      <c r="L178" s="52">
        <v>675</v>
      </c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</row>
    <row r="179" spans="1:29" x14ac:dyDescent="0.2">
      <c r="A179" s="11" t="s">
        <v>66</v>
      </c>
      <c r="B179" s="11">
        <v>12943</v>
      </c>
      <c r="C179" s="17"/>
      <c r="D179" s="11">
        <v>0</v>
      </c>
      <c r="E179" s="11"/>
      <c r="F179" s="11">
        <v>0</v>
      </c>
      <c r="G179" s="11"/>
      <c r="H179" s="11">
        <f t="shared" si="13"/>
        <v>12943</v>
      </c>
      <c r="J179" s="3">
        <v>12943.08</v>
      </c>
      <c r="K179" s="5">
        <f t="shared" si="14"/>
        <v>7.999999999992724E-2</v>
      </c>
      <c r="L179" s="27" t="s">
        <v>225</v>
      </c>
    </row>
    <row r="180" spans="1:29" x14ac:dyDescent="0.2">
      <c r="A180" s="11" t="s">
        <v>107</v>
      </c>
      <c r="B180" s="11">
        <v>4293751</v>
      </c>
      <c r="C180" s="17"/>
      <c r="D180" s="11">
        <v>-64119</v>
      </c>
      <c r="E180" s="11"/>
      <c r="F180" s="11">
        <v>0</v>
      </c>
      <c r="G180" s="11"/>
      <c r="H180" s="11">
        <f t="shared" si="13"/>
        <v>4229632</v>
      </c>
      <c r="J180" s="3">
        <v>4229631.5199999996</v>
      </c>
      <c r="K180" s="5">
        <f t="shared" si="14"/>
        <v>-0.48000000044703484</v>
      </c>
      <c r="L180" s="38" t="s">
        <v>358</v>
      </c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</row>
    <row r="181" spans="1:29" x14ac:dyDescent="0.2">
      <c r="A181" s="11" t="s">
        <v>41</v>
      </c>
      <c r="B181" s="22">
        <f>SUM(B172:B180)</f>
        <v>9523936</v>
      </c>
      <c r="C181" s="11"/>
      <c r="D181" s="22">
        <f>SUM(D172:D180)</f>
        <v>867926</v>
      </c>
      <c r="E181" s="11"/>
      <c r="F181" s="22">
        <f>SUM(F172:F180)</f>
        <v>1882621</v>
      </c>
      <c r="G181" s="11"/>
      <c r="H181" s="22">
        <f>SUM(H172:H180)</f>
        <v>8509241</v>
      </c>
      <c r="J181" s="58">
        <f>SUM(J172:J180)</f>
        <v>8509240.9299999997</v>
      </c>
      <c r="K181" s="5">
        <f>J181-H181</f>
        <v>-7.0000000298023224E-2</v>
      </c>
    </row>
    <row r="182" spans="1:29" x14ac:dyDescent="0.2">
      <c r="A182" s="11"/>
      <c r="B182" s="13"/>
      <c r="C182" s="11"/>
      <c r="D182" s="13"/>
      <c r="E182" s="11"/>
      <c r="F182" s="13"/>
      <c r="G182" s="11"/>
      <c r="H182" s="28"/>
    </row>
    <row r="183" spans="1:29" x14ac:dyDescent="0.2">
      <c r="A183" s="11" t="s">
        <v>118</v>
      </c>
      <c r="B183" s="11"/>
      <c r="C183" s="17"/>
      <c r="D183" s="11"/>
      <c r="E183" s="11"/>
      <c r="F183" s="11"/>
      <c r="G183" s="11"/>
      <c r="H183" s="11"/>
    </row>
    <row r="184" spans="1:29" x14ac:dyDescent="0.2">
      <c r="A184" s="11" t="s">
        <v>119</v>
      </c>
      <c r="B184" s="11">
        <v>1592280</v>
      </c>
      <c r="C184" s="17"/>
      <c r="D184" s="11">
        <v>34234</v>
      </c>
      <c r="E184" s="11"/>
      <c r="F184" s="11">
        <v>0</v>
      </c>
      <c r="G184" s="11"/>
      <c r="H184" s="11">
        <f t="shared" ref="H184:H212" si="15">+B184+D184-F184</f>
        <v>1626514</v>
      </c>
      <c r="J184" s="3">
        <v>1626514</v>
      </c>
      <c r="K184" s="5">
        <f>J184-H184</f>
        <v>0</v>
      </c>
      <c r="L184" s="23" t="s">
        <v>252</v>
      </c>
    </row>
    <row r="185" spans="1:29" x14ac:dyDescent="0.2">
      <c r="A185" s="11" t="s">
        <v>148</v>
      </c>
      <c r="B185" s="11">
        <v>770516</v>
      </c>
      <c r="C185" s="17"/>
      <c r="D185" s="11">
        <v>16566</v>
      </c>
      <c r="E185" s="11"/>
      <c r="F185" s="11">
        <v>0</v>
      </c>
      <c r="G185" s="11"/>
      <c r="H185" s="11">
        <f t="shared" si="15"/>
        <v>787082</v>
      </c>
      <c r="J185" s="3">
        <v>787082</v>
      </c>
      <c r="K185" s="5">
        <f t="shared" ref="K185:K213" si="16">J185-H185</f>
        <v>0</v>
      </c>
      <c r="L185" s="23" t="s">
        <v>241</v>
      </c>
    </row>
    <row r="186" spans="1:29" x14ac:dyDescent="0.2">
      <c r="A186" s="11" t="s">
        <v>120</v>
      </c>
      <c r="B186" s="11">
        <v>1792734</v>
      </c>
      <c r="C186" s="17"/>
      <c r="D186" s="11">
        <v>38544</v>
      </c>
      <c r="E186" s="11"/>
      <c r="F186" s="11">
        <v>0</v>
      </c>
      <c r="G186" s="11"/>
      <c r="H186" s="11">
        <f t="shared" si="15"/>
        <v>1831278</v>
      </c>
      <c r="J186" s="3">
        <v>1831278</v>
      </c>
      <c r="K186" s="5">
        <f t="shared" si="16"/>
        <v>0</v>
      </c>
      <c r="L186" s="23" t="s">
        <v>250</v>
      </c>
    </row>
    <row r="187" spans="1:29" x14ac:dyDescent="0.2">
      <c r="A187" s="11" t="s">
        <v>121</v>
      </c>
      <c r="B187" s="11">
        <v>493364</v>
      </c>
      <c r="C187" s="17"/>
      <c r="D187" s="11">
        <v>10607</v>
      </c>
      <c r="E187" s="11"/>
      <c r="F187" s="11">
        <v>0</v>
      </c>
      <c r="G187" s="11"/>
      <c r="H187" s="11">
        <f t="shared" si="15"/>
        <v>503971</v>
      </c>
      <c r="J187" s="3">
        <v>503971</v>
      </c>
      <c r="K187" s="5">
        <f t="shared" si="16"/>
        <v>0</v>
      </c>
      <c r="L187" s="23" t="s">
        <v>251</v>
      </c>
    </row>
    <row r="188" spans="1:29" x14ac:dyDescent="0.2">
      <c r="A188" s="11" t="s">
        <v>122</v>
      </c>
      <c r="B188" s="11">
        <v>1085096</v>
      </c>
      <c r="C188" s="17"/>
      <c r="D188" s="11">
        <f>1224+16047+5536</f>
        <v>22807</v>
      </c>
      <c r="E188" s="11"/>
      <c r="F188" s="11">
        <f>32443</f>
        <v>32443</v>
      </c>
      <c r="G188" s="11"/>
      <c r="H188" s="11">
        <f t="shared" si="15"/>
        <v>1075460</v>
      </c>
      <c r="J188" s="3">
        <f>58146.72+762400+254912.53</f>
        <v>1075459.25</v>
      </c>
      <c r="K188" s="5">
        <f t="shared" si="16"/>
        <v>-0.75</v>
      </c>
      <c r="L188" s="23" t="s">
        <v>257</v>
      </c>
      <c r="M188" s="23" t="s">
        <v>469</v>
      </c>
      <c r="N188" s="23" t="s">
        <v>258</v>
      </c>
      <c r="O188" s="23" t="s">
        <v>256</v>
      </c>
      <c r="Z188" s="37"/>
      <c r="AC188" s="16"/>
    </row>
    <row r="189" spans="1:29" x14ac:dyDescent="0.2">
      <c r="A189" s="11" t="s">
        <v>87</v>
      </c>
      <c r="B189" s="11">
        <v>398512</v>
      </c>
      <c r="C189" s="17"/>
      <c r="D189" s="11">
        <v>8568</v>
      </c>
      <c r="E189" s="11"/>
      <c r="F189" s="11">
        <v>0</v>
      </c>
      <c r="G189" s="11"/>
      <c r="H189" s="11">
        <f t="shared" si="15"/>
        <v>407080</v>
      </c>
      <c r="J189" s="3">
        <v>407080</v>
      </c>
      <c r="K189" s="5">
        <f t="shared" si="16"/>
        <v>0</v>
      </c>
      <c r="L189" s="21" t="s">
        <v>213</v>
      </c>
    </row>
    <row r="190" spans="1:29" x14ac:dyDescent="0.2">
      <c r="A190" s="11" t="s">
        <v>172</v>
      </c>
      <c r="B190" s="11">
        <v>756141</v>
      </c>
      <c r="C190" s="17"/>
      <c r="D190" s="11">
        <f>327608+75000</f>
        <v>402608</v>
      </c>
      <c r="E190" s="11"/>
      <c r="F190" s="11">
        <v>0</v>
      </c>
      <c r="G190" s="11"/>
      <c r="H190" s="11">
        <f t="shared" si="15"/>
        <v>1158749</v>
      </c>
      <c r="J190" s="3">
        <f>1083749.43+75000</f>
        <v>1158749.43</v>
      </c>
      <c r="K190" s="5">
        <f t="shared" si="16"/>
        <v>0.42999999993480742</v>
      </c>
      <c r="L190" s="21" t="s">
        <v>255</v>
      </c>
      <c r="M190" s="21" t="s">
        <v>474</v>
      </c>
    </row>
    <row r="191" spans="1:29" x14ac:dyDescent="0.2">
      <c r="A191" s="11" t="s">
        <v>123</v>
      </c>
      <c r="B191" s="11">
        <v>922541</v>
      </c>
      <c r="C191" s="17"/>
      <c r="D191" s="11">
        <f>267+150183+162+265+90000</f>
        <v>240877</v>
      </c>
      <c r="E191" s="11"/>
      <c r="F191" s="11">
        <v>0</v>
      </c>
      <c r="G191" s="11"/>
      <c r="H191" s="11">
        <f t="shared" si="15"/>
        <v>1163418</v>
      </c>
      <c r="J191" s="3">
        <f>12681.76+1040436.36+12596+7704+90000</f>
        <v>1163418.1199999999</v>
      </c>
      <c r="K191" s="5">
        <f t="shared" si="16"/>
        <v>0.11999999987892807</v>
      </c>
      <c r="L191" s="23" t="s">
        <v>343</v>
      </c>
      <c r="M191" s="23" t="s">
        <v>344</v>
      </c>
      <c r="N191" s="23" t="s">
        <v>345</v>
      </c>
      <c r="O191" s="29" t="s">
        <v>346</v>
      </c>
      <c r="P191" s="29" t="s">
        <v>475</v>
      </c>
    </row>
    <row r="192" spans="1:29" x14ac:dyDescent="0.2">
      <c r="A192" s="11" t="s">
        <v>149</v>
      </c>
      <c r="B192" s="11">
        <v>70332</v>
      </c>
      <c r="C192" s="17"/>
      <c r="D192" s="11">
        <v>1512</v>
      </c>
      <c r="E192" s="11"/>
      <c r="F192" s="11">
        <v>0</v>
      </c>
      <c r="G192" s="11"/>
      <c r="H192" s="11">
        <f t="shared" si="15"/>
        <v>71844</v>
      </c>
      <c r="J192" s="3">
        <v>71844</v>
      </c>
      <c r="K192" s="5">
        <f t="shared" si="16"/>
        <v>0</v>
      </c>
      <c r="L192" s="23" t="s">
        <v>244</v>
      </c>
    </row>
    <row r="193" spans="1:28" x14ac:dyDescent="0.2">
      <c r="A193" s="11" t="s">
        <v>142</v>
      </c>
      <c r="B193" s="11">
        <v>56936</v>
      </c>
      <c r="C193" s="17"/>
      <c r="D193" s="11">
        <v>1224</v>
      </c>
      <c r="E193" s="11"/>
      <c r="F193" s="11">
        <v>0</v>
      </c>
      <c r="G193" s="11"/>
      <c r="H193" s="11">
        <f t="shared" si="15"/>
        <v>58160</v>
      </c>
      <c r="J193" s="3">
        <v>58159.91</v>
      </c>
      <c r="K193" s="5">
        <f t="shared" si="16"/>
        <v>-8.999999999650754E-2</v>
      </c>
      <c r="L193" s="21" t="s">
        <v>193</v>
      </c>
    </row>
    <row r="194" spans="1:28" x14ac:dyDescent="0.2">
      <c r="A194" s="11" t="s">
        <v>124</v>
      </c>
      <c r="B194" s="11">
        <v>422869</v>
      </c>
      <c r="C194" s="17"/>
      <c r="D194" s="11">
        <v>9092</v>
      </c>
      <c r="E194" s="11"/>
      <c r="F194" s="11">
        <v>0</v>
      </c>
      <c r="G194" s="11"/>
      <c r="H194" s="11">
        <f t="shared" si="15"/>
        <v>431961</v>
      </c>
      <c r="J194" s="3">
        <v>431961</v>
      </c>
      <c r="K194" s="5">
        <f t="shared" si="16"/>
        <v>0</v>
      </c>
      <c r="L194" s="21" t="s">
        <v>189</v>
      </c>
    </row>
    <row r="195" spans="1:28" x14ac:dyDescent="0.2">
      <c r="A195" s="11" t="s">
        <v>104</v>
      </c>
      <c r="B195" s="11">
        <v>20826</v>
      </c>
      <c r="C195" s="17"/>
      <c r="D195" s="11">
        <v>448</v>
      </c>
      <c r="E195" s="11"/>
      <c r="F195" s="11">
        <v>0</v>
      </c>
      <c r="G195" s="11"/>
      <c r="H195" s="11">
        <f>+B195+D195-F195</f>
        <v>21274</v>
      </c>
      <c r="J195" s="3">
        <v>21273.8</v>
      </c>
      <c r="K195" s="5">
        <f>J195-H195</f>
        <v>-0.2000000000007276</v>
      </c>
      <c r="L195" s="21" t="s">
        <v>192</v>
      </c>
    </row>
    <row r="196" spans="1:28" x14ac:dyDescent="0.2">
      <c r="A196" s="11" t="s">
        <v>323</v>
      </c>
      <c r="B196" s="11">
        <v>110553</v>
      </c>
      <c r="C196" s="17"/>
      <c r="D196" s="11">
        <v>2321</v>
      </c>
      <c r="E196" s="11"/>
      <c r="F196" s="11">
        <v>7490</v>
      </c>
      <c r="G196" s="11"/>
      <c r="H196" s="11">
        <f t="shared" si="15"/>
        <v>105384</v>
      </c>
      <c r="J196" s="3">
        <v>105384.2</v>
      </c>
      <c r="K196" s="5">
        <f t="shared" si="16"/>
        <v>0.19999999999708962</v>
      </c>
      <c r="L196" s="21" t="s">
        <v>324</v>
      </c>
    </row>
    <row r="197" spans="1:28" x14ac:dyDescent="0.2">
      <c r="A197" s="11" t="s">
        <v>150</v>
      </c>
      <c r="B197" s="11">
        <v>879004</v>
      </c>
      <c r="C197" s="17"/>
      <c r="D197" s="11">
        <v>18899</v>
      </c>
      <c r="E197" s="11"/>
      <c r="F197" s="11">
        <v>0</v>
      </c>
      <c r="G197" s="11"/>
      <c r="H197" s="11">
        <f t="shared" si="15"/>
        <v>897903</v>
      </c>
      <c r="J197" s="3">
        <v>897903</v>
      </c>
      <c r="K197" s="5">
        <f t="shared" si="16"/>
        <v>0</v>
      </c>
      <c r="L197" s="23" t="s">
        <v>243</v>
      </c>
    </row>
    <row r="198" spans="1:28" x14ac:dyDescent="0.2">
      <c r="A198" s="11" t="s">
        <v>125</v>
      </c>
      <c r="B198" s="11">
        <v>3622107</v>
      </c>
      <c r="C198" s="17"/>
      <c r="D198" s="11">
        <f>-24826+54339+170+25000+150000+125000</f>
        <v>329683</v>
      </c>
      <c r="E198" s="11"/>
      <c r="F198" s="11">
        <v>0</v>
      </c>
      <c r="G198" s="11"/>
      <c r="H198" s="11">
        <f t="shared" si="15"/>
        <v>3951790</v>
      </c>
      <c r="J198" s="3">
        <f>1061960.27+2581746.47+8083.47+25000+150000+125000</f>
        <v>3951790.2100000004</v>
      </c>
      <c r="K198" s="5">
        <f t="shared" si="16"/>
        <v>0.21000000042840838</v>
      </c>
      <c r="L198" s="23" t="s">
        <v>471</v>
      </c>
      <c r="M198" s="23" t="s">
        <v>472</v>
      </c>
      <c r="N198" s="29" t="s">
        <v>259</v>
      </c>
      <c r="O198" s="29" t="s">
        <v>260</v>
      </c>
      <c r="P198" s="29" t="s">
        <v>473</v>
      </c>
      <c r="T198" s="16"/>
      <c r="U198" s="16"/>
      <c r="V198" s="16"/>
      <c r="W198" s="15"/>
      <c r="X198" s="15"/>
      <c r="Y198" s="15"/>
      <c r="Z198" s="15"/>
      <c r="AA198" s="15"/>
      <c r="AB198" s="15"/>
    </row>
    <row r="199" spans="1:28" x14ac:dyDescent="0.2">
      <c r="A199" s="11" t="s">
        <v>126</v>
      </c>
      <c r="B199" s="11">
        <v>9225</v>
      </c>
      <c r="C199" s="17"/>
      <c r="D199" s="11">
        <v>198</v>
      </c>
      <c r="E199" s="11"/>
      <c r="F199" s="11">
        <v>0</v>
      </c>
      <c r="G199" s="11"/>
      <c r="H199" s="11">
        <f t="shared" si="15"/>
        <v>9423</v>
      </c>
      <c r="J199" s="3">
        <v>9422.68</v>
      </c>
      <c r="K199" s="5">
        <f t="shared" si="16"/>
        <v>-0.31999999999970896</v>
      </c>
      <c r="L199" s="23" t="s">
        <v>247</v>
      </c>
    </row>
    <row r="200" spans="1:28" x14ac:dyDescent="0.2">
      <c r="A200" s="11" t="s">
        <v>127</v>
      </c>
      <c r="B200" s="11">
        <v>527372</v>
      </c>
      <c r="C200" s="17"/>
      <c r="D200" s="11">
        <v>11338</v>
      </c>
      <c r="E200" s="11"/>
      <c r="F200" s="11">
        <v>0</v>
      </c>
      <c r="G200" s="11"/>
      <c r="H200" s="11">
        <f t="shared" si="15"/>
        <v>538710</v>
      </c>
      <c r="J200" s="3">
        <v>538710</v>
      </c>
      <c r="K200" s="5">
        <f t="shared" si="16"/>
        <v>0</v>
      </c>
      <c r="L200" s="21" t="s">
        <v>223</v>
      </c>
    </row>
    <row r="201" spans="1:28" x14ac:dyDescent="0.2">
      <c r="A201" s="11" t="s">
        <v>128</v>
      </c>
      <c r="B201" s="11">
        <v>136891</v>
      </c>
      <c r="C201" s="17"/>
      <c r="D201" s="11">
        <v>2943</v>
      </c>
      <c r="E201" s="11"/>
      <c r="F201" s="11">
        <v>0</v>
      </c>
      <c r="G201" s="11"/>
      <c r="H201" s="11">
        <f t="shared" si="15"/>
        <v>139834</v>
      </c>
      <c r="J201" s="3">
        <v>139834</v>
      </c>
      <c r="K201" s="5">
        <f t="shared" si="16"/>
        <v>0</v>
      </c>
      <c r="L201" s="23" t="s">
        <v>248</v>
      </c>
    </row>
    <row r="202" spans="1:28" x14ac:dyDescent="0.2">
      <c r="A202" s="11" t="s">
        <v>129</v>
      </c>
      <c r="B202" s="11">
        <v>747394</v>
      </c>
      <c r="C202" s="17"/>
      <c r="D202" s="11">
        <v>16069</v>
      </c>
      <c r="E202" s="11"/>
      <c r="F202" s="11">
        <v>0</v>
      </c>
      <c r="G202" s="11"/>
      <c r="H202" s="11">
        <f t="shared" si="15"/>
        <v>763463</v>
      </c>
      <c r="J202" s="3">
        <v>763463</v>
      </c>
      <c r="K202" s="5">
        <f t="shared" si="16"/>
        <v>0</v>
      </c>
      <c r="L202" s="23" t="s">
        <v>249</v>
      </c>
    </row>
    <row r="203" spans="1:28" x14ac:dyDescent="0.2">
      <c r="A203" s="11" t="s">
        <v>130</v>
      </c>
      <c r="B203" s="11">
        <v>234429</v>
      </c>
      <c r="C203" s="17"/>
      <c r="D203" s="11">
        <v>5040</v>
      </c>
      <c r="E203" s="11"/>
      <c r="F203" s="11">
        <v>0</v>
      </c>
      <c r="G203" s="11"/>
      <c r="H203" s="11">
        <f t="shared" si="15"/>
        <v>239469</v>
      </c>
      <c r="J203" s="3">
        <v>239469</v>
      </c>
      <c r="K203" s="5">
        <f t="shared" si="16"/>
        <v>0</v>
      </c>
      <c r="L203" s="23" t="s">
        <v>254</v>
      </c>
    </row>
    <row r="204" spans="1:28" x14ac:dyDescent="0.2">
      <c r="A204" s="11" t="s">
        <v>131</v>
      </c>
      <c r="B204" s="11">
        <v>960976</v>
      </c>
      <c r="C204" s="17"/>
      <c r="D204" s="11">
        <v>20661</v>
      </c>
      <c r="E204" s="11"/>
      <c r="F204" s="11">
        <v>0</v>
      </c>
      <c r="G204" s="11"/>
      <c r="H204" s="11">
        <f t="shared" si="15"/>
        <v>981637</v>
      </c>
      <c r="J204" s="3">
        <v>981637</v>
      </c>
      <c r="K204" s="5">
        <f t="shared" si="16"/>
        <v>0</v>
      </c>
      <c r="L204" s="23" t="s">
        <v>253</v>
      </c>
    </row>
    <row r="205" spans="1:28" x14ac:dyDescent="0.2">
      <c r="A205" s="11" t="s">
        <v>132</v>
      </c>
      <c r="B205" s="11">
        <v>1492682</v>
      </c>
      <c r="C205" s="17"/>
      <c r="D205" s="11">
        <v>32093</v>
      </c>
      <c r="E205" s="11"/>
      <c r="F205" s="11">
        <v>0</v>
      </c>
      <c r="G205" s="11"/>
      <c r="H205" s="11">
        <f t="shared" si="15"/>
        <v>1524775</v>
      </c>
      <c r="J205" s="3">
        <v>1524775</v>
      </c>
      <c r="K205" s="5">
        <f t="shared" si="16"/>
        <v>0</v>
      </c>
      <c r="L205" s="23" t="s">
        <v>242</v>
      </c>
    </row>
    <row r="206" spans="1:28" x14ac:dyDescent="0.2">
      <c r="A206" s="11" t="s">
        <v>133</v>
      </c>
      <c r="B206" s="11">
        <v>223852</v>
      </c>
      <c r="C206" s="17"/>
      <c r="D206" s="11">
        <v>23300</v>
      </c>
      <c r="E206" s="11"/>
      <c r="F206" s="11">
        <v>0</v>
      </c>
      <c r="G206" s="11"/>
      <c r="H206" s="11">
        <f t="shared" si="15"/>
        <v>247152</v>
      </c>
      <c r="J206" s="3">
        <v>247152.38</v>
      </c>
      <c r="K206" s="5">
        <f t="shared" si="16"/>
        <v>0.38000000000465661</v>
      </c>
      <c r="L206" s="21" t="s">
        <v>207</v>
      </c>
    </row>
    <row r="207" spans="1:28" x14ac:dyDescent="0.2">
      <c r="A207" s="11" t="s">
        <v>147</v>
      </c>
      <c r="B207" s="11">
        <v>6715674</v>
      </c>
      <c r="C207" s="17"/>
      <c r="D207" s="11">
        <v>144387</v>
      </c>
      <c r="E207" s="11"/>
      <c r="F207" s="11">
        <v>0</v>
      </c>
      <c r="G207" s="11"/>
      <c r="H207" s="11">
        <f t="shared" si="15"/>
        <v>6860061</v>
      </c>
      <c r="J207" s="3">
        <v>6860061</v>
      </c>
      <c r="K207" s="5">
        <f t="shared" si="16"/>
        <v>0</v>
      </c>
      <c r="L207" s="21" t="s">
        <v>204</v>
      </c>
    </row>
    <row r="208" spans="1:28" x14ac:dyDescent="0.2">
      <c r="A208" s="11" t="s">
        <v>134</v>
      </c>
      <c r="B208" s="11">
        <v>481148</v>
      </c>
      <c r="C208" s="17"/>
      <c r="D208" s="11">
        <v>46759</v>
      </c>
      <c r="E208" s="11"/>
      <c r="F208" s="11">
        <v>0</v>
      </c>
      <c r="G208" s="11"/>
      <c r="H208" s="11">
        <f t="shared" si="15"/>
        <v>527907</v>
      </c>
      <c r="J208" s="3">
        <v>527906.79</v>
      </c>
      <c r="K208" s="5">
        <f t="shared" si="16"/>
        <v>-0.2099999999627471</v>
      </c>
      <c r="L208" s="21" t="s">
        <v>206</v>
      </c>
    </row>
    <row r="209" spans="1:28" x14ac:dyDescent="0.2">
      <c r="A209" s="11" t="s">
        <v>135</v>
      </c>
      <c r="B209" s="11">
        <v>160628</v>
      </c>
      <c r="C209" s="17"/>
      <c r="D209" s="11">
        <f>109867+988+1451+9</f>
        <v>112315</v>
      </c>
      <c r="E209" s="11"/>
      <c r="F209" s="11">
        <f>148436</f>
        <v>148436</v>
      </c>
      <c r="G209" s="11"/>
      <c r="H209" s="11">
        <f t="shared" si="15"/>
        <v>124507</v>
      </c>
      <c r="J209" s="3">
        <f>46933+77146.98+426.73</f>
        <v>124506.70999999999</v>
      </c>
      <c r="K209" s="5">
        <f t="shared" si="16"/>
        <v>-0.29000000000814907</v>
      </c>
      <c r="L209" s="23" t="s">
        <v>347</v>
      </c>
      <c r="M209" s="23" t="s">
        <v>348</v>
      </c>
      <c r="N209" s="23" t="s">
        <v>349</v>
      </c>
      <c r="O209" s="29" t="s">
        <v>350</v>
      </c>
      <c r="P209" s="29" t="s">
        <v>351</v>
      </c>
    </row>
    <row r="210" spans="1:28" x14ac:dyDescent="0.2">
      <c r="A210" s="11" t="s">
        <v>136</v>
      </c>
      <c r="B210" s="11">
        <v>1023365</v>
      </c>
      <c r="C210" s="17"/>
      <c r="D210" s="11">
        <f>6+14002+4001+689+3304</f>
        <v>22002</v>
      </c>
      <c r="E210" s="11"/>
      <c r="F210" s="11">
        <v>16843</v>
      </c>
      <c r="G210" s="11"/>
      <c r="H210" s="11">
        <f t="shared" si="15"/>
        <v>1028524</v>
      </c>
      <c r="J210" s="3">
        <f>262+665273.23+190108.5+32751.5+140128.8</f>
        <v>1028524.03</v>
      </c>
      <c r="K210" s="5">
        <f t="shared" si="16"/>
        <v>3.0000000027939677E-2</v>
      </c>
      <c r="L210" s="23" t="s">
        <v>470</v>
      </c>
      <c r="M210" s="23" t="s">
        <v>352</v>
      </c>
      <c r="N210" s="29" t="s">
        <v>353</v>
      </c>
      <c r="O210" s="29" t="s">
        <v>354</v>
      </c>
      <c r="Y210" s="16"/>
      <c r="AB210" s="15"/>
    </row>
    <row r="211" spans="1:28" x14ac:dyDescent="0.2">
      <c r="A211" s="11" t="s">
        <v>137</v>
      </c>
      <c r="B211" s="11">
        <v>273694</v>
      </c>
      <c r="C211" s="17"/>
      <c r="D211" s="11">
        <v>5884</v>
      </c>
      <c r="E211" s="11"/>
      <c r="F211" s="11">
        <v>0</v>
      </c>
      <c r="G211" s="11"/>
      <c r="H211" s="11">
        <f t="shared" si="15"/>
        <v>279578</v>
      </c>
      <c r="J211" s="3">
        <v>279578</v>
      </c>
      <c r="K211" s="5">
        <f t="shared" si="16"/>
        <v>0</v>
      </c>
      <c r="L211" s="23" t="s">
        <v>245</v>
      </c>
    </row>
    <row r="212" spans="1:28" x14ac:dyDescent="0.2">
      <c r="A212" s="11" t="s">
        <v>138</v>
      </c>
      <c r="B212" s="11">
        <v>361637</v>
      </c>
      <c r="C212" s="17"/>
      <c r="D212" s="11">
        <f>111697-103999</f>
        <v>7698</v>
      </c>
      <c r="E212" s="11"/>
      <c r="F212" s="11">
        <v>7156</v>
      </c>
      <c r="G212" s="11"/>
      <c r="H212" s="11">
        <f t="shared" si="15"/>
        <v>362179</v>
      </c>
      <c r="J212" s="3">
        <f>257638+104541.25</f>
        <v>362179.25</v>
      </c>
      <c r="K212" s="5">
        <f t="shared" si="16"/>
        <v>0.25</v>
      </c>
      <c r="L212" s="23" t="s">
        <v>246</v>
      </c>
      <c r="M212" s="4" t="s">
        <v>468</v>
      </c>
    </row>
    <row r="213" spans="1:28" x14ac:dyDescent="0.2">
      <c r="A213" s="11" t="s">
        <v>139</v>
      </c>
      <c r="B213" s="22">
        <f>SUM(B184:B212)</f>
        <v>26342778</v>
      </c>
      <c r="C213" s="11"/>
      <c r="D213" s="22">
        <f>SUM(D184:D212)</f>
        <v>1588677</v>
      </c>
      <c r="E213" s="11"/>
      <c r="F213" s="22">
        <f>SUM(F184:F212)</f>
        <v>212368</v>
      </c>
      <c r="G213" s="11"/>
      <c r="H213" s="22">
        <f>SUM(H184:H212)</f>
        <v>27719087</v>
      </c>
      <c r="J213" s="58">
        <f>SUM(J184:J212)</f>
        <v>27719086.760000002</v>
      </c>
      <c r="K213" s="5">
        <f t="shared" si="16"/>
        <v>-0.23999999836087227</v>
      </c>
    </row>
    <row r="214" spans="1:28" x14ac:dyDescent="0.2">
      <c r="A214" s="11"/>
      <c r="B214" s="11"/>
      <c r="C214" s="17"/>
      <c r="D214" s="11"/>
      <c r="E214" s="11"/>
      <c r="F214" s="11"/>
      <c r="G214" s="11"/>
      <c r="H214" s="11"/>
    </row>
    <row r="215" spans="1:28" x14ac:dyDescent="0.2">
      <c r="A215" s="11" t="s">
        <v>57</v>
      </c>
      <c r="B215" s="13"/>
      <c r="C215" s="11"/>
      <c r="D215" s="13"/>
      <c r="E215" s="11"/>
      <c r="F215" s="13"/>
      <c r="G215" s="11"/>
      <c r="H215" s="13"/>
    </row>
    <row r="216" spans="1:28" x14ac:dyDescent="0.2">
      <c r="A216" s="11" t="s">
        <v>171</v>
      </c>
      <c r="B216" s="13">
        <v>0</v>
      </c>
      <c r="C216" s="11"/>
      <c r="D216" s="13">
        <v>7491</v>
      </c>
      <c r="E216" s="11"/>
      <c r="F216" s="13">
        <v>7491</v>
      </c>
      <c r="G216" s="11"/>
      <c r="H216" s="13">
        <f t="shared" ref="H216:H234" si="17">+B216+D216-F216</f>
        <v>0</v>
      </c>
      <c r="J216" s="3">
        <v>0</v>
      </c>
      <c r="K216" s="5">
        <f>J216-H216</f>
        <v>0</v>
      </c>
      <c r="L216" s="4" t="s">
        <v>264</v>
      </c>
    </row>
    <row r="217" spans="1:28" x14ac:dyDescent="0.2">
      <c r="A217" s="11" t="s">
        <v>170</v>
      </c>
      <c r="B217" s="13">
        <v>100000</v>
      </c>
      <c r="C217" s="11"/>
      <c r="D217" s="13">
        <v>13235</v>
      </c>
      <c r="E217" s="11"/>
      <c r="F217" s="13">
        <v>113235</v>
      </c>
      <c r="G217" s="11"/>
      <c r="H217" s="13">
        <f t="shared" si="17"/>
        <v>0</v>
      </c>
      <c r="J217" s="3">
        <v>0</v>
      </c>
      <c r="K217" s="5">
        <f t="shared" ref="K217:K235" si="18">J217-H217</f>
        <v>0</v>
      </c>
      <c r="L217" s="23" t="s">
        <v>267</v>
      </c>
    </row>
    <row r="218" spans="1:28" x14ac:dyDescent="0.2">
      <c r="A218" s="11" t="s">
        <v>71</v>
      </c>
      <c r="B218" s="13">
        <v>536125</v>
      </c>
      <c r="C218" s="11"/>
      <c r="D218" s="13">
        <v>0</v>
      </c>
      <c r="E218" s="11"/>
      <c r="F218" s="13">
        <v>0</v>
      </c>
      <c r="G218" s="11"/>
      <c r="H218" s="13">
        <f t="shared" ref="H218:H223" si="19">+B218+D218-F218</f>
        <v>536125</v>
      </c>
      <c r="J218" s="3">
        <v>536125.18999999994</v>
      </c>
      <c r="K218" s="5">
        <f t="shared" si="18"/>
        <v>0.18999999994412065</v>
      </c>
      <c r="L218" s="21" t="s">
        <v>186</v>
      </c>
    </row>
    <row r="219" spans="1:28" x14ac:dyDescent="0.2">
      <c r="A219" s="11" t="s">
        <v>146</v>
      </c>
      <c r="B219" s="13">
        <v>251000</v>
      </c>
      <c r="C219" s="11"/>
      <c r="D219" s="13">
        <v>-266382</v>
      </c>
      <c r="E219" s="11"/>
      <c r="F219" s="13">
        <v>-15382</v>
      </c>
      <c r="G219" s="11"/>
      <c r="H219" s="13">
        <f t="shared" si="19"/>
        <v>0</v>
      </c>
      <c r="J219" s="3">
        <v>0</v>
      </c>
      <c r="K219" s="5">
        <f t="shared" si="18"/>
        <v>0</v>
      </c>
      <c r="L219" s="23" t="s">
        <v>261</v>
      </c>
    </row>
    <row r="220" spans="1:28" x14ac:dyDescent="0.2">
      <c r="A220" s="11" t="s">
        <v>165</v>
      </c>
      <c r="B220" s="13">
        <v>114549</v>
      </c>
      <c r="C220" s="11"/>
      <c r="D220" s="13">
        <v>-114549</v>
      </c>
      <c r="E220" s="11"/>
      <c r="F220" s="13">
        <v>0</v>
      </c>
      <c r="G220" s="11"/>
      <c r="H220" s="13">
        <f t="shared" si="19"/>
        <v>0</v>
      </c>
      <c r="J220" s="3">
        <v>0</v>
      </c>
      <c r="K220" s="5">
        <f t="shared" si="18"/>
        <v>0</v>
      </c>
      <c r="L220" s="21" t="s">
        <v>229</v>
      </c>
    </row>
    <row r="221" spans="1:28" x14ac:dyDescent="0.2">
      <c r="A221" s="11" t="s">
        <v>159</v>
      </c>
      <c r="B221" s="13">
        <v>1166492</v>
      </c>
      <c r="C221" s="11"/>
      <c r="D221" s="13">
        <v>0</v>
      </c>
      <c r="E221" s="11"/>
      <c r="F221" s="13">
        <v>11191</v>
      </c>
      <c r="G221" s="11"/>
      <c r="H221" s="13">
        <f t="shared" si="19"/>
        <v>1155301</v>
      </c>
      <c r="J221" s="3">
        <v>1155301</v>
      </c>
      <c r="K221" s="5">
        <f t="shared" si="18"/>
        <v>0</v>
      </c>
      <c r="L221" s="23" t="s">
        <v>265</v>
      </c>
    </row>
    <row r="222" spans="1:28" x14ac:dyDescent="0.2">
      <c r="A222" s="11" t="s">
        <v>270</v>
      </c>
      <c r="B222" s="13">
        <v>0</v>
      </c>
      <c r="C222" s="11"/>
      <c r="D222" s="13">
        <v>2054168</v>
      </c>
      <c r="E222" s="11"/>
      <c r="F222" s="13">
        <v>2054168</v>
      </c>
      <c r="G222" s="11"/>
      <c r="H222" s="13">
        <f t="shared" si="19"/>
        <v>0</v>
      </c>
      <c r="J222" s="3">
        <v>0</v>
      </c>
      <c r="K222" s="5">
        <f t="shared" si="18"/>
        <v>0</v>
      </c>
      <c r="L222" s="23" t="s">
        <v>271</v>
      </c>
    </row>
    <row r="223" spans="1:28" x14ac:dyDescent="0.2">
      <c r="A223" s="11" t="s">
        <v>466</v>
      </c>
      <c r="B223" s="13">
        <v>0</v>
      </c>
      <c r="C223" s="11"/>
      <c r="D223" s="13">
        <v>151063</v>
      </c>
      <c r="E223" s="11"/>
      <c r="F223" s="13">
        <v>151063</v>
      </c>
      <c r="G223" s="11"/>
      <c r="H223" s="13">
        <f t="shared" si="19"/>
        <v>0</v>
      </c>
      <c r="J223" s="3">
        <v>0</v>
      </c>
      <c r="K223" s="5">
        <f t="shared" si="18"/>
        <v>0</v>
      </c>
      <c r="L223" s="23" t="s">
        <v>467</v>
      </c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</row>
    <row r="224" spans="1:28" x14ac:dyDescent="0.2">
      <c r="A224" s="11" t="s">
        <v>154</v>
      </c>
      <c r="B224" s="11">
        <v>16213</v>
      </c>
      <c r="C224" s="11"/>
      <c r="D224" s="13">
        <v>-16213</v>
      </c>
      <c r="E224" s="11"/>
      <c r="F224" s="13">
        <v>0</v>
      </c>
      <c r="G224" s="11"/>
      <c r="H224" s="13">
        <f t="shared" si="17"/>
        <v>0</v>
      </c>
      <c r="J224" s="3">
        <v>0</v>
      </c>
      <c r="K224" s="5">
        <f t="shared" si="18"/>
        <v>0</v>
      </c>
      <c r="L224" s="23" t="s">
        <v>263</v>
      </c>
    </row>
    <row r="225" spans="1:25" x14ac:dyDescent="0.2">
      <c r="A225" s="11" t="s">
        <v>169</v>
      </c>
      <c r="B225" s="11">
        <v>31451</v>
      </c>
      <c r="C225" s="11"/>
      <c r="D225" s="13">
        <v>0</v>
      </c>
      <c r="E225" s="11"/>
      <c r="F225" s="13">
        <v>0</v>
      </c>
      <c r="G225" s="11"/>
      <c r="H225" s="13">
        <f t="shared" si="17"/>
        <v>31451</v>
      </c>
      <c r="J225" s="3">
        <v>31451</v>
      </c>
      <c r="K225" s="5">
        <f t="shared" si="18"/>
        <v>0</v>
      </c>
      <c r="L225" s="23" t="s">
        <v>266</v>
      </c>
    </row>
    <row r="226" spans="1:25" x14ac:dyDescent="0.2">
      <c r="A226" s="11" t="s">
        <v>116</v>
      </c>
      <c r="B226" s="11">
        <v>510482</v>
      </c>
      <c r="C226" s="11"/>
      <c r="D226" s="13">
        <v>0</v>
      </c>
      <c r="E226" s="11"/>
      <c r="F226" s="13">
        <v>0</v>
      </c>
      <c r="G226" s="11"/>
      <c r="H226" s="13">
        <f t="shared" si="17"/>
        <v>510482</v>
      </c>
      <c r="J226" s="3">
        <v>510482</v>
      </c>
      <c r="K226" s="5">
        <f t="shared" si="18"/>
        <v>0</v>
      </c>
      <c r="L226" s="23" t="s">
        <v>262</v>
      </c>
    </row>
    <row r="227" spans="1:25" x14ac:dyDescent="0.2">
      <c r="A227" s="11" t="s">
        <v>464</v>
      </c>
      <c r="B227" s="11">
        <v>0</v>
      </c>
      <c r="C227" s="11"/>
      <c r="D227" s="13">
        <v>91000</v>
      </c>
      <c r="E227" s="11"/>
      <c r="F227" s="13">
        <v>91000</v>
      </c>
      <c r="G227" s="11"/>
      <c r="H227" s="13">
        <f t="shared" si="17"/>
        <v>0</v>
      </c>
      <c r="J227" s="3">
        <v>0</v>
      </c>
      <c r="K227" s="5">
        <f t="shared" si="18"/>
        <v>0</v>
      </c>
      <c r="L227" s="23" t="s">
        <v>465</v>
      </c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</row>
    <row r="228" spans="1:25" x14ac:dyDescent="0.2">
      <c r="A228" s="11" t="s">
        <v>110</v>
      </c>
      <c r="B228" s="11">
        <v>-10203</v>
      </c>
      <c r="C228" s="11"/>
      <c r="D228" s="13">
        <v>10203</v>
      </c>
      <c r="E228" s="11"/>
      <c r="F228" s="13">
        <v>0</v>
      </c>
      <c r="G228" s="11"/>
      <c r="H228" s="13">
        <f t="shared" si="17"/>
        <v>0</v>
      </c>
      <c r="J228" s="3">
        <v>0</v>
      </c>
      <c r="K228" s="5">
        <f t="shared" si="18"/>
        <v>0</v>
      </c>
      <c r="L228" s="21" t="s">
        <v>190</v>
      </c>
    </row>
    <row r="229" spans="1:25" x14ac:dyDescent="0.2">
      <c r="A229" s="11" t="s">
        <v>272</v>
      </c>
      <c r="B229" s="11">
        <v>0</v>
      </c>
      <c r="C229" s="11"/>
      <c r="D229" s="13">
        <v>181985</v>
      </c>
      <c r="E229" s="11"/>
      <c r="F229" s="13">
        <v>181985</v>
      </c>
      <c r="G229" s="11"/>
      <c r="H229" s="13">
        <f t="shared" si="17"/>
        <v>0</v>
      </c>
      <c r="J229" s="3">
        <v>0</v>
      </c>
      <c r="K229" s="5">
        <f t="shared" si="18"/>
        <v>0</v>
      </c>
      <c r="L229" s="23" t="s">
        <v>273</v>
      </c>
    </row>
    <row r="230" spans="1:25" x14ac:dyDescent="0.2">
      <c r="A230" s="11" t="s">
        <v>168</v>
      </c>
      <c r="B230" s="11">
        <v>250052</v>
      </c>
      <c r="C230" s="11"/>
      <c r="D230" s="13">
        <v>0</v>
      </c>
      <c r="E230" s="11"/>
      <c r="F230" s="13">
        <v>0</v>
      </c>
      <c r="G230" s="11"/>
      <c r="H230" s="13">
        <f t="shared" si="17"/>
        <v>250052</v>
      </c>
      <c r="J230" s="3">
        <v>250052.22</v>
      </c>
      <c r="K230" s="5">
        <f t="shared" si="18"/>
        <v>0.22000000000116415</v>
      </c>
      <c r="L230" s="23" t="s">
        <v>268</v>
      </c>
    </row>
    <row r="231" spans="1:25" x14ac:dyDescent="0.2">
      <c r="A231" s="11" t="s">
        <v>166</v>
      </c>
      <c r="B231" s="11">
        <v>1712738</v>
      </c>
      <c r="C231" s="11"/>
      <c r="D231" s="13">
        <v>500000</v>
      </c>
      <c r="E231" s="11"/>
      <c r="F231" s="13">
        <v>0</v>
      </c>
      <c r="G231" s="11"/>
      <c r="H231" s="13">
        <f t="shared" si="17"/>
        <v>2212738</v>
      </c>
      <c r="J231" s="3">
        <v>2212737.7000000002</v>
      </c>
      <c r="K231" s="5">
        <f t="shared" si="18"/>
        <v>-0.29999999981373549</v>
      </c>
      <c r="L231" s="23" t="s">
        <v>269</v>
      </c>
    </row>
    <row r="232" spans="1:25" x14ac:dyDescent="0.2">
      <c r="A232" s="11" t="s">
        <v>208</v>
      </c>
      <c r="B232" s="11">
        <v>0</v>
      </c>
      <c r="C232" s="11"/>
      <c r="D232" s="13">
        <v>122703</v>
      </c>
      <c r="E232" s="11"/>
      <c r="F232" s="13">
        <v>122703</v>
      </c>
      <c r="G232" s="11"/>
      <c r="H232" s="13">
        <f t="shared" si="17"/>
        <v>0</v>
      </c>
      <c r="J232" s="3">
        <v>0</v>
      </c>
      <c r="K232" s="5">
        <f t="shared" si="18"/>
        <v>0</v>
      </c>
      <c r="L232" s="23" t="s">
        <v>209</v>
      </c>
      <c r="M232" s="23" t="s">
        <v>274</v>
      </c>
    </row>
    <row r="233" spans="1:25" x14ac:dyDescent="0.2">
      <c r="A233" s="11" t="s">
        <v>167</v>
      </c>
      <c r="B233" s="11">
        <v>0</v>
      </c>
      <c r="C233" s="11"/>
      <c r="D233" s="13">
        <v>2556887</v>
      </c>
      <c r="E233" s="11"/>
      <c r="F233" s="13">
        <v>2556887</v>
      </c>
      <c r="G233" s="11"/>
      <c r="H233" s="13">
        <f t="shared" si="17"/>
        <v>0</v>
      </c>
      <c r="J233" s="3">
        <v>0</v>
      </c>
      <c r="K233" s="5">
        <f t="shared" si="18"/>
        <v>0</v>
      </c>
      <c r="L233" s="23" t="s">
        <v>463</v>
      </c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</row>
    <row r="234" spans="1:25" x14ac:dyDescent="0.2">
      <c r="A234" s="11" t="s">
        <v>145</v>
      </c>
      <c r="B234" s="13">
        <v>0</v>
      </c>
      <c r="C234" s="11"/>
      <c r="D234" s="13">
        <v>11339</v>
      </c>
      <c r="E234" s="11"/>
      <c r="F234" s="13">
        <v>11339</v>
      </c>
      <c r="G234" s="11"/>
      <c r="H234" s="13">
        <f t="shared" si="17"/>
        <v>0</v>
      </c>
      <c r="J234" s="3">
        <v>0</v>
      </c>
      <c r="K234" s="5">
        <f t="shared" si="18"/>
        <v>0</v>
      </c>
      <c r="L234" s="21" t="s">
        <v>200</v>
      </c>
    </row>
    <row r="235" spans="1:25" x14ac:dyDescent="0.2">
      <c r="A235" s="11" t="s">
        <v>58</v>
      </c>
      <c r="B235" s="19">
        <f>SUM(B216:B234)</f>
        <v>4678899</v>
      </c>
      <c r="C235" s="11"/>
      <c r="D235" s="19">
        <f>SUM(D216:D234)</f>
        <v>5302930</v>
      </c>
      <c r="E235" s="11"/>
      <c r="F235" s="19">
        <f>SUM(F216:F234)</f>
        <v>5285680</v>
      </c>
      <c r="G235" s="11"/>
      <c r="H235" s="19">
        <f>SUM(H216:H234)</f>
        <v>4696149</v>
      </c>
      <c r="J235" s="58">
        <f>SUM(J216:J234)</f>
        <v>4696149.1100000003</v>
      </c>
      <c r="K235" s="5">
        <f t="shared" si="18"/>
        <v>0.11000000033527613</v>
      </c>
      <c r="P235" s="63"/>
      <c r="Q235" s="63"/>
    </row>
    <row r="236" spans="1:25" x14ac:dyDescent="0.2">
      <c r="A236" s="11"/>
      <c r="B236" s="13"/>
      <c r="C236" s="11"/>
      <c r="D236" s="13"/>
      <c r="E236" s="11"/>
      <c r="F236" s="13"/>
      <c r="G236" s="11"/>
      <c r="H236" s="13"/>
    </row>
    <row r="237" spans="1:25" ht="13.5" thickBot="1" x14ac:dyDescent="0.25">
      <c r="A237" s="11" t="s">
        <v>39</v>
      </c>
      <c r="B237" s="30">
        <f>B235+B181+B169+B28+B17+B213</f>
        <v>135229902</v>
      </c>
      <c r="C237" s="11"/>
      <c r="D237" s="30">
        <f>D235+D181+D169+D28+D17+D213</f>
        <v>19659817</v>
      </c>
      <c r="E237" s="11"/>
      <c r="F237" s="30">
        <f>F235+F181+F169+F28+F17+F213</f>
        <v>30193602</v>
      </c>
      <c r="G237" s="11"/>
      <c r="H237" s="30">
        <f>H235+H181+H169+H28+H17+H213</f>
        <v>124696117</v>
      </c>
      <c r="J237" s="3">
        <f>J235+J213+J181+J169+J28</f>
        <v>124696117.09999999</v>
      </c>
      <c r="K237" s="5">
        <f>K235+K213+K181+K169+K28</f>
        <v>0.10000000288709998</v>
      </c>
    </row>
    <row r="238" spans="1:25" ht="13.5" thickTop="1" x14ac:dyDescent="0.2">
      <c r="A238" s="11"/>
      <c r="B238" s="11"/>
      <c r="C238" s="11"/>
      <c r="D238" s="11"/>
      <c r="E238" s="11"/>
      <c r="F238" s="11"/>
      <c r="G238" s="11"/>
      <c r="H238" s="11"/>
    </row>
    <row r="239" spans="1:25" x14ac:dyDescent="0.2">
      <c r="A239" s="11"/>
      <c r="B239" s="11"/>
      <c r="C239" s="11"/>
      <c r="D239" s="11"/>
      <c r="E239" s="11"/>
      <c r="F239" s="11"/>
      <c r="G239" s="11"/>
      <c r="H239" s="11"/>
    </row>
    <row r="240" spans="1:25" x14ac:dyDescent="0.2">
      <c r="A240" s="11"/>
      <c r="B240" s="11"/>
      <c r="C240" s="11"/>
      <c r="D240" s="11"/>
      <c r="E240" s="11"/>
      <c r="F240" s="11"/>
      <c r="G240" s="11"/>
      <c r="H240" s="11"/>
    </row>
    <row r="241" spans="1:10" x14ac:dyDescent="0.2">
      <c r="A241" s="11"/>
      <c r="B241" s="11"/>
      <c r="C241" s="11"/>
      <c r="D241" s="11"/>
      <c r="E241" s="11"/>
      <c r="F241" s="11"/>
      <c r="G241" s="11"/>
      <c r="H241" s="11"/>
    </row>
    <row r="242" spans="1:10" x14ac:dyDescent="0.2">
      <c r="A242" s="11"/>
      <c r="B242" s="11"/>
      <c r="C242" s="11"/>
      <c r="D242" s="11"/>
      <c r="E242" s="11"/>
      <c r="F242" s="11"/>
      <c r="G242" s="11"/>
      <c r="H242" s="11"/>
    </row>
    <row r="243" spans="1:10" x14ac:dyDescent="0.2">
      <c r="A243" s="11"/>
      <c r="B243" s="11"/>
      <c r="C243" s="11"/>
      <c r="D243" s="11"/>
      <c r="E243" s="11"/>
      <c r="F243" s="11"/>
      <c r="G243" s="11"/>
      <c r="H243" s="11"/>
    </row>
    <row r="244" spans="1:10" x14ac:dyDescent="0.2">
      <c r="A244" s="31" t="s">
        <v>4</v>
      </c>
      <c r="B244" s="11">
        <v>135229902.34</v>
      </c>
      <c r="C244" s="11"/>
      <c r="D244" s="11">
        <v>19433354.18</v>
      </c>
      <c r="E244" s="11"/>
      <c r="F244" s="11">
        <v>29967139.420000002</v>
      </c>
      <c r="G244" s="11"/>
      <c r="H244" s="11">
        <v>124696117.09999999</v>
      </c>
      <c r="J244" s="3">
        <v>-1</v>
      </c>
    </row>
    <row r="245" spans="1:10" x14ac:dyDescent="0.2">
      <c r="A245" s="31" t="s">
        <v>3</v>
      </c>
      <c r="B245" s="32">
        <v>135229902.34</v>
      </c>
      <c r="C245" s="11"/>
      <c r="D245" s="32">
        <f>D237</f>
        <v>19659817</v>
      </c>
      <c r="E245" s="11"/>
      <c r="F245" s="32">
        <f>F237</f>
        <v>30193602</v>
      </c>
      <c r="G245" s="11"/>
      <c r="H245" s="32">
        <f>H237</f>
        <v>124696117</v>
      </c>
    </row>
    <row r="246" spans="1:10" x14ac:dyDescent="0.2">
      <c r="A246" s="11"/>
      <c r="B246" s="11"/>
      <c r="C246" s="11"/>
      <c r="D246" s="11"/>
      <c r="E246" s="11"/>
      <c r="F246" s="11"/>
      <c r="G246" s="11"/>
      <c r="H246" s="11"/>
    </row>
    <row r="247" spans="1:10" x14ac:dyDescent="0.2">
      <c r="A247" s="11"/>
      <c r="B247" s="11">
        <f>B244-B245</f>
        <v>0</v>
      </c>
      <c r="C247" s="11"/>
      <c r="D247" s="11">
        <f>D244-D245</f>
        <v>-226462.8200000003</v>
      </c>
      <c r="E247" s="11"/>
      <c r="F247" s="11">
        <f>F244-F245</f>
        <v>-226462.57999999821</v>
      </c>
      <c r="G247" s="11"/>
      <c r="H247" s="11">
        <f>H244-H245</f>
        <v>9.9999994039535522E-2</v>
      </c>
    </row>
    <row r="248" spans="1:10" x14ac:dyDescent="0.2">
      <c r="A248" s="31" t="s">
        <v>61</v>
      </c>
      <c r="B248" s="33">
        <v>0</v>
      </c>
      <c r="D248" s="33">
        <v>226463</v>
      </c>
      <c r="F248" s="33">
        <v>226463</v>
      </c>
      <c r="H248" s="33">
        <v>0</v>
      </c>
    </row>
    <row r="249" spans="1:10" x14ac:dyDescent="0.2">
      <c r="A249" s="11"/>
      <c r="B249" s="34">
        <f>B247+B248</f>
        <v>0</v>
      </c>
      <c r="D249" s="34">
        <f>D247+D248</f>
        <v>0.17999999970197678</v>
      </c>
      <c r="F249" s="34">
        <f>F247+F248</f>
        <v>0.42000000178813934</v>
      </c>
      <c r="H249" s="34">
        <f>H247+H248</f>
        <v>9.9999994039535522E-2</v>
      </c>
    </row>
    <row r="250" spans="1:10" x14ac:dyDescent="0.2">
      <c r="A250" s="35"/>
    </row>
    <row r="251" spans="1:10" x14ac:dyDescent="0.2">
      <c r="A251" s="35"/>
      <c r="B251" s="35"/>
      <c r="C251" s="35"/>
      <c r="D251" s="35"/>
      <c r="E251" s="35"/>
      <c r="F251" s="35"/>
      <c r="G251" s="35"/>
      <c r="H251" s="35"/>
    </row>
    <row r="252" spans="1:10" x14ac:dyDescent="0.2">
      <c r="A252" s="36" t="s">
        <v>2</v>
      </c>
      <c r="B252" s="35"/>
      <c r="C252" s="35"/>
      <c r="D252" s="35"/>
      <c r="E252" s="35"/>
      <c r="F252" s="35"/>
      <c r="G252" s="35"/>
      <c r="H252" s="35"/>
    </row>
    <row r="253" spans="1:10" x14ac:dyDescent="0.2">
      <c r="A253" s="36" t="s">
        <v>2</v>
      </c>
      <c r="B253" s="35"/>
      <c r="C253" s="35"/>
      <c r="D253" s="35"/>
      <c r="E253" s="35"/>
      <c r="F253" s="35"/>
      <c r="G253" s="35"/>
      <c r="H253" s="35"/>
    </row>
    <row r="254" spans="1:10" x14ac:dyDescent="0.2">
      <c r="A254" s="35"/>
      <c r="B254" s="35"/>
      <c r="C254" s="35"/>
      <c r="D254" s="35"/>
      <c r="E254" s="35"/>
      <c r="F254" s="35"/>
      <c r="G254" s="35"/>
      <c r="H254" s="35"/>
    </row>
    <row r="255" spans="1:10" x14ac:dyDescent="0.2">
      <c r="A255" s="35"/>
      <c r="B255" s="35"/>
      <c r="C255" s="35"/>
      <c r="D255" s="35"/>
      <c r="E255" s="35"/>
      <c r="F255" s="35"/>
      <c r="G255" s="35"/>
      <c r="H255" s="35"/>
    </row>
    <row r="256" spans="1:10" x14ac:dyDescent="0.2">
      <c r="A256" s="35"/>
      <c r="B256" s="35"/>
      <c r="C256" s="35"/>
      <c r="D256" s="35"/>
      <c r="E256" s="35"/>
      <c r="F256" s="35"/>
      <c r="G256" s="35"/>
      <c r="H256" s="35"/>
    </row>
    <row r="257" spans="1:8" x14ac:dyDescent="0.2">
      <c r="A257" s="35"/>
      <c r="B257" s="35"/>
      <c r="C257" s="35"/>
      <c r="D257" s="35"/>
      <c r="E257" s="35"/>
      <c r="F257" s="35"/>
      <c r="G257" s="35"/>
      <c r="H257" s="35"/>
    </row>
    <row r="258" spans="1:8" x14ac:dyDescent="0.2">
      <c r="A258" s="35"/>
      <c r="B258" s="35"/>
      <c r="C258" s="35"/>
      <c r="D258" s="35"/>
      <c r="E258" s="35"/>
      <c r="F258" s="35"/>
      <c r="G258" s="35"/>
      <c r="H258" s="35"/>
    </row>
    <row r="259" spans="1:8" x14ac:dyDescent="0.2">
      <c r="A259" s="35"/>
      <c r="B259" s="35"/>
      <c r="C259" s="35"/>
      <c r="D259" s="35"/>
      <c r="E259" s="35"/>
      <c r="F259" s="35"/>
      <c r="G259" s="35"/>
      <c r="H259" s="35"/>
    </row>
    <row r="260" spans="1:8" x14ac:dyDescent="0.2">
      <c r="A260" s="35"/>
      <c r="B260" s="35"/>
      <c r="C260" s="35"/>
      <c r="D260" s="35"/>
      <c r="E260" s="35"/>
      <c r="F260" s="35"/>
      <c r="G260" s="35"/>
      <c r="H260" s="35"/>
    </row>
    <row r="261" spans="1:8" x14ac:dyDescent="0.2">
      <c r="A261" s="35"/>
      <c r="B261" s="35"/>
      <c r="C261" s="35"/>
      <c r="D261" s="35"/>
      <c r="E261" s="35"/>
      <c r="F261" s="35"/>
      <c r="G261" s="35"/>
      <c r="H261" s="35"/>
    </row>
    <row r="262" spans="1:8" x14ac:dyDescent="0.2">
      <c r="A262" s="35"/>
      <c r="B262" s="35"/>
      <c r="C262" s="35"/>
      <c r="D262" s="35"/>
      <c r="E262" s="35"/>
      <c r="F262" s="35"/>
      <c r="G262" s="35"/>
      <c r="H262" s="35"/>
    </row>
    <row r="263" spans="1:8" x14ac:dyDescent="0.2">
      <c r="A263" s="35"/>
      <c r="B263" s="35"/>
      <c r="C263" s="35"/>
      <c r="D263" s="35"/>
      <c r="E263" s="35"/>
      <c r="F263" s="35"/>
      <c r="G263" s="35"/>
      <c r="H263" s="35"/>
    </row>
    <row r="264" spans="1:8" x14ac:dyDescent="0.2">
      <c r="A264" s="35"/>
      <c r="B264" s="35"/>
      <c r="C264" s="35"/>
      <c r="D264" s="35"/>
      <c r="E264" s="35"/>
      <c r="F264" s="35"/>
      <c r="G264" s="35"/>
      <c r="H264" s="35"/>
    </row>
    <row r="265" spans="1:8" x14ac:dyDescent="0.2">
      <c r="A265" s="35"/>
      <c r="B265" s="35"/>
      <c r="C265" s="35"/>
      <c r="D265" s="35"/>
      <c r="E265" s="35"/>
      <c r="F265" s="35"/>
      <c r="G265" s="35"/>
      <c r="H265" s="35"/>
    </row>
  </sheetData>
  <phoneticPr fontId="2" type="noConversion"/>
  <conditionalFormatting sqref="A79:A80 D99:F114 A214:H237 E81:E98 G81:H114 A38:H63 E64:E78 G64:H78 D64:D98 F64:F98 A64:C78 A81:C114 A115:H212 A12:H36">
    <cfRule type="expression" dxfId="3" priority="14" stopIfTrue="1">
      <formula>MOD(ROW(),2)=0</formula>
    </cfRule>
  </conditionalFormatting>
  <conditionalFormatting sqref="B79:C80 E79:E80 G79:H80">
    <cfRule type="expression" dxfId="2" priority="10" stopIfTrue="1">
      <formula>MOD(ROW(),2)=0</formula>
    </cfRule>
  </conditionalFormatting>
  <conditionalFormatting sqref="A213:H213">
    <cfRule type="expression" dxfId="1" priority="4" stopIfTrue="1">
      <formula>MOD(ROW(),2)=0</formula>
    </cfRule>
  </conditionalFormatting>
  <conditionalFormatting sqref="A37:H37">
    <cfRule type="expression" dxfId="0" priority="1" stopIfTrue="1">
      <formula>MOD(ROW(),2)=0</formula>
    </cfRule>
  </conditionalFormatting>
  <printOptions horizontalCentered="1"/>
  <pageMargins left="0.5" right="0.5" top="0.75" bottom="0.75" header="0.3" footer="0.3"/>
  <pageSetup scale="70" fitToHeight="0" orientation="portrait" r:id="rId1"/>
  <headerFooter alignWithMargins="0">
    <oddFooter>&amp;R&amp;"Goudy Old Style,Regular"Page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LSU-BR</vt:lpstr>
      <vt:lpstr>'LSU-BR'!Print_Area</vt:lpstr>
      <vt:lpstr>'LSU-BR'!Print_Titles</vt:lpstr>
    </vt:vector>
  </TitlesOfParts>
  <Company>Louisiana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hope</dc:creator>
  <cp:lastModifiedBy>Danita C King</cp:lastModifiedBy>
  <cp:lastPrinted>2019-12-04T15:11:02Z</cp:lastPrinted>
  <dcterms:created xsi:type="dcterms:W3CDTF">2004-07-20T19:35:16Z</dcterms:created>
  <dcterms:modified xsi:type="dcterms:W3CDTF">2020-03-06T16:02:32Z</dcterms:modified>
</cp:coreProperties>
</file>